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дмин\Desktop\Вознесенка. Тарификация 2023 последняя\"/>
    </mc:Choice>
  </mc:AlternateContent>
  <xr:revisionPtr revIDLastSave="0" documentId="13_ncr:1_{E6DCD531-0E8D-4E3C-BBD0-CA225D30041D}" xr6:coauthVersionLast="47" xr6:coauthVersionMax="47" xr10:uidLastSave="{00000000-0000-0000-0000-000000000000}"/>
  <bookViews>
    <workbookView xWindow="-120" yWindow="-120" windowWidth="29040" windowHeight="15840" tabRatio="590" xr2:uid="{00000000-000D-0000-FFFF-FFFF00000000}"/>
  </bookViews>
  <sheets>
    <sheet name="в часах" sheetId="2" r:id="rId1"/>
    <sheet name="в сумме" sheetId="4" r:id="rId2"/>
  </sheets>
  <definedNames>
    <definedName name="_xlnm.Print_Titles" localSheetId="1">'в сумме'!$A:$B,'в сумме'!$13:$16</definedName>
    <definedName name="_xlnm.Print_Titles" localSheetId="0">'в часах'!$A:$B,'в часах'!$30:$33</definedName>
    <definedName name="_xlnm.Print_Area" localSheetId="1">'в сумме'!$A$1:$BB$52</definedName>
    <definedName name="_xlnm.Print_Area" localSheetId="0">'в часах'!$A$1:$AV$69</definedName>
  </definedNames>
  <calcPr calcId="191029"/>
</workbook>
</file>

<file path=xl/calcChain.xml><?xml version="1.0" encoding="utf-8"?>
<calcChain xmlns="http://schemas.openxmlformats.org/spreadsheetml/2006/main">
  <c r="W3" i="2" l="1"/>
  <c r="L69" i="2"/>
  <c r="M69" i="2"/>
  <c r="N69" i="2"/>
  <c r="K67" i="2"/>
  <c r="O69" i="2"/>
  <c r="P69" i="2"/>
  <c r="R68" i="2"/>
  <c r="K68" i="2"/>
  <c r="J68" i="2"/>
  <c r="D51" i="4"/>
  <c r="E51" i="4"/>
  <c r="F51" i="4"/>
  <c r="G51" i="4"/>
  <c r="H51" i="4"/>
  <c r="I51" i="4"/>
  <c r="K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R51" i="4"/>
  <c r="AS51" i="4"/>
  <c r="AT51" i="4"/>
  <c r="AU51" i="4"/>
  <c r="AV51" i="4"/>
  <c r="AW51" i="4"/>
  <c r="B51" i="4"/>
  <c r="C51" i="4"/>
  <c r="R67" i="2"/>
  <c r="J67" i="2"/>
  <c r="J51" i="4" s="1"/>
  <c r="L51" i="4" l="1"/>
  <c r="N51" i="4"/>
  <c r="O51" i="4"/>
  <c r="M51" i="4"/>
  <c r="T51" i="4" s="1"/>
  <c r="P51" i="4" l="1"/>
  <c r="Q51" i="4" l="1"/>
  <c r="R51" i="4" s="1"/>
  <c r="S51" i="4"/>
  <c r="AO51" i="4" l="1"/>
  <c r="AP51" i="4"/>
  <c r="AQ51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H33" i="4"/>
  <c r="AH34" i="4"/>
  <c r="AH35" i="4"/>
  <c r="AX51" i="4" l="1"/>
  <c r="AY51" i="4" s="1"/>
  <c r="BA51" i="4" s="1"/>
  <c r="W4" i="2"/>
  <c r="K60" i="2" l="1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17" i="4"/>
  <c r="V17" i="4"/>
  <c r="W17" i="4"/>
  <c r="X17" i="4"/>
  <c r="Y17" i="4"/>
  <c r="Z17" i="4"/>
  <c r="AA17" i="4"/>
  <c r="AB17" i="4"/>
  <c r="AC17" i="4"/>
  <c r="AD17" i="4"/>
  <c r="AE17" i="4"/>
  <c r="AG17" i="4"/>
  <c r="B17" i="4"/>
  <c r="C17" i="4"/>
  <c r="D17" i="4"/>
  <c r="E17" i="4"/>
  <c r="F17" i="4"/>
  <c r="G17" i="4"/>
  <c r="H17" i="4"/>
  <c r="I17" i="4"/>
  <c r="U17" i="4"/>
  <c r="AH17" i="4"/>
  <c r="AI17" i="4"/>
  <c r="AJ17" i="4"/>
  <c r="AK17" i="4"/>
  <c r="AL17" i="4"/>
  <c r="AM17" i="4"/>
  <c r="AR17" i="4"/>
  <c r="AS17" i="4"/>
  <c r="AT17" i="4"/>
  <c r="AU17" i="4"/>
  <c r="AV17" i="4"/>
  <c r="AW17" i="4"/>
  <c r="J34" i="2"/>
  <c r="J17" i="4" s="1"/>
  <c r="O17" i="4" s="1"/>
  <c r="K34" i="2"/>
  <c r="K17" i="4" s="1"/>
  <c r="R34" i="2"/>
  <c r="N17" i="4" l="1"/>
  <c r="M17" i="4"/>
  <c r="L17" i="4"/>
  <c r="T17" i="4" l="1"/>
  <c r="P17" i="4"/>
  <c r="S17" i="4" s="1"/>
  <c r="Q17" i="4" l="1"/>
  <c r="R17" i="4" s="1"/>
  <c r="AQ17" i="4" s="1"/>
  <c r="AO17" i="4" l="1"/>
  <c r="AP17" i="4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19" i="4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R19" i="4"/>
  <c r="AS19" i="4"/>
  <c r="AT19" i="4"/>
  <c r="AU19" i="4"/>
  <c r="AV19" i="4"/>
  <c r="AW19" i="4"/>
  <c r="V19" i="4"/>
  <c r="W19" i="4"/>
  <c r="X19" i="4"/>
  <c r="Y19" i="4"/>
  <c r="Z19" i="4"/>
  <c r="AA19" i="4"/>
  <c r="AB19" i="4"/>
  <c r="AC19" i="4"/>
  <c r="AD19" i="4"/>
  <c r="AE19" i="4"/>
  <c r="AG19" i="4"/>
  <c r="AH19" i="4"/>
  <c r="AI19" i="4"/>
  <c r="AJ19" i="4"/>
  <c r="AK19" i="4"/>
  <c r="F19" i="4"/>
  <c r="G19" i="4"/>
  <c r="H19" i="4"/>
  <c r="I19" i="4"/>
  <c r="U19" i="4"/>
  <c r="B19" i="4"/>
  <c r="C19" i="4"/>
  <c r="D19" i="4"/>
  <c r="E19" i="4"/>
  <c r="AH20" i="4"/>
  <c r="AI20" i="4"/>
  <c r="AJ20" i="4"/>
  <c r="AK20" i="4"/>
  <c r="AH21" i="4"/>
  <c r="AI21" i="4"/>
  <c r="AJ21" i="4"/>
  <c r="AK21" i="4"/>
  <c r="AH22" i="4"/>
  <c r="AI22" i="4"/>
  <c r="AJ22" i="4"/>
  <c r="AK22" i="4"/>
  <c r="AH23" i="4"/>
  <c r="AI23" i="4"/>
  <c r="AJ23" i="4"/>
  <c r="AK23" i="4"/>
  <c r="AH24" i="4"/>
  <c r="AI24" i="4"/>
  <c r="AJ24" i="4"/>
  <c r="AK24" i="4"/>
  <c r="AH25" i="4"/>
  <c r="AI25" i="4"/>
  <c r="AJ25" i="4"/>
  <c r="AH26" i="4"/>
  <c r="AI26" i="4"/>
  <c r="AJ26" i="4"/>
  <c r="AH27" i="4"/>
  <c r="AI27" i="4"/>
  <c r="AJ27" i="4"/>
  <c r="AH28" i="4"/>
  <c r="AI28" i="4"/>
  <c r="AJ28" i="4"/>
  <c r="AH29" i="4"/>
  <c r="AI29" i="4"/>
  <c r="AJ29" i="4"/>
  <c r="AH30" i="4"/>
  <c r="AI30" i="4"/>
  <c r="AJ30" i="4"/>
  <c r="AH31" i="4"/>
  <c r="AI31" i="4"/>
  <c r="AJ31" i="4"/>
  <c r="AH32" i="4"/>
  <c r="AI32" i="4"/>
  <c r="AJ32" i="4"/>
  <c r="AH36" i="4"/>
  <c r="AH37" i="4"/>
  <c r="AH38" i="4"/>
  <c r="AI18" i="4"/>
  <c r="AH18" i="4"/>
  <c r="AR21" i="4"/>
  <c r="AS21" i="4"/>
  <c r="AT21" i="4"/>
  <c r="AU21" i="4"/>
  <c r="AV21" i="4"/>
  <c r="AW21" i="4"/>
  <c r="V21" i="4"/>
  <c r="W21" i="4"/>
  <c r="X21" i="4"/>
  <c r="Y21" i="4"/>
  <c r="Z21" i="4"/>
  <c r="AA21" i="4"/>
  <c r="AB21" i="4"/>
  <c r="AC21" i="4"/>
  <c r="AD21" i="4"/>
  <c r="AE21" i="4"/>
  <c r="AG21" i="4"/>
  <c r="U21" i="4"/>
  <c r="K36" i="2"/>
  <c r="K19" i="4" s="1"/>
  <c r="J36" i="2"/>
  <c r="J19" i="4" s="1"/>
  <c r="L19" i="4" s="1"/>
  <c r="K38" i="2"/>
  <c r="K21" i="4" s="1"/>
  <c r="J38" i="2"/>
  <c r="J21" i="4" s="1"/>
  <c r="O21" i="4" s="1"/>
  <c r="I21" i="4"/>
  <c r="H21" i="4"/>
  <c r="G21" i="4"/>
  <c r="F21" i="4"/>
  <c r="E21" i="4"/>
  <c r="D21" i="4"/>
  <c r="C21" i="4"/>
  <c r="B21" i="4"/>
  <c r="J43" i="2"/>
  <c r="J26" i="4" s="1"/>
  <c r="K43" i="2"/>
  <c r="K26" i="4" s="1"/>
  <c r="R43" i="2"/>
  <c r="B26" i="4"/>
  <c r="C26" i="4"/>
  <c r="D26" i="4"/>
  <c r="E26" i="4"/>
  <c r="F26" i="4"/>
  <c r="G26" i="4"/>
  <c r="H26" i="4"/>
  <c r="I26" i="4"/>
  <c r="U26" i="4"/>
  <c r="V26" i="4"/>
  <c r="W26" i="4"/>
  <c r="X26" i="4"/>
  <c r="Y26" i="4"/>
  <c r="Z26" i="4"/>
  <c r="AA26" i="4"/>
  <c r="AB26" i="4"/>
  <c r="AC26" i="4"/>
  <c r="AD26" i="4"/>
  <c r="AE26" i="4"/>
  <c r="AG26" i="4"/>
  <c r="AR26" i="4"/>
  <c r="AS26" i="4"/>
  <c r="AT26" i="4"/>
  <c r="AU26" i="4"/>
  <c r="AV26" i="4"/>
  <c r="AW26" i="4"/>
  <c r="R38" i="2"/>
  <c r="R39" i="2"/>
  <c r="R40" i="2"/>
  <c r="R41" i="2"/>
  <c r="R42" i="2"/>
  <c r="R35" i="2"/>
  <c r="R36" i="2"/>
  <c r="AR20" i="4"/>
  <c r="AS20" i="4"/>
  <c r="AT20" i="4"/>
  <c r="AU20" i="4"/>
  <c r="AV20" i="4"/>
  <c r="AW20" i="4"/>
  <c r="AR22" i="4"/>
  <c r="AS22" i="4"/>
  <c r="AT22" i="4"/>
  <c r="AU22" i="4"/>
  <c r="AV22" i="4"/>
  <c r="AW22" i="4"/>
  <c r="AR23" i="4"/>
  <c r="AS23" i="4"/>
  <c r="AT23" i="4"/>
  <c r="AU23" i="4"/>
  <c r="AV23" i="4"/>
  <c r="AW23" i="4"/>
  <c r="AR24" i="4"/>
  <c r="AS24" i="4"/>
  <c r="AT24" i="4"/>
  <c r="AU24" i="4"/>
  <c r="AV24" i="4"/>
  <c r="AW24" i="4"/>
  <c r="AR25" i="4"/>
  <c r="AS25" i="4"/>
  <c r="AT25" i="4"/>
  <c r="AU25" i="4"/>
  <c r="AV25" i="4"/>
  <c r="AW25" i="4"/>
  <c r="AR27" i="4"/>
  <c r="AS27" i="4"/>
  <c r="AT27" i="4"/>
  <c r="AU27" i="4"/>
  <c r="AV27" i="4"/>
  <c r="AW27" i="4"/>
  <c r="AR28" i="4"/>
  <c r="AS28" i="4"/>
  <c r="AT28" i="4"/>
  <c r="AU28" i="4"/>
  <c r="AV28" i="4"/>
  <c r="AW28" i="4"/>
  <c r="AR29" i="4"/>
  <c r="AS29" i="4"/>
  <c r="AT29" i="4"/>
  <c r="AU29" i="4"/>
  <c r="AV29" i="4"/>
  <c r="AW29" i="4"/>
  <c r="AR30" i="4"/>
  <c r="AS30" i="4"/>
  <c r="AT30" i="4"/>
  <c r="AU30" i="4"/>
  <c r="AV30" i="4"/>
  <c r="AW30" i="4"/>
  <c r="AR31" i="4"/>
  <c r="AS31" i="4"/>
  <c r="AT31" i="4"/>
  <c r="AU31" i="4"/>
  <c r="AV31" i="4"/>
  <c r="AW31" i="4"/>
  <c r="AR32" i="4"/>
  <c r="AS32" i="4"/>
  <c r="AT32" i="4"/>
  <c r="AU32" i="4"/>
  <c r="AV32" i="4"/>
  <c r="AW32" i="4"/>
  <c r="AR33" i="4"/>
  <c r="AS33" i="4"/>
  <c r="AT33" i="4"/>
  <c r="AU33" i="4"/>
  <c r="AV33" i="4"/>
  <c r="AW33" i="4"/>
  <c r="AR34" i="4"/>
  <c r="AS34" i="4"/>
  <c r="AT34" i="4"/>
  <c r="AU34" i="4"/>
  <c r="AV34" i="4"/>
  <c r="AW34" i="4"/>
  <c r="AR35" i="4"/>
  <c r="AS35" i="4"/>
  <c r="AT35" i="4"/>
  <c r="AU35" i="4"/>
  <c r="AV35" i="4"/>
  <c r="AW35" i="4"/>
  <c r="AR36" i="4"/>
  <c r="AS36" i="4"/>
  <c r="AT36" i="4"/>
  <c r="AU36" i="4"/>
  <c r="AV36" i="4"/>
  <c r="AW36" i="4"/>
  <c r="AR37" i="4"/>
  <c r="AS37" i="4"/>
  <c r="AT37" i="4"/>
  <c r="AU37" i="4"/>
  <c r="AV37" i="4"/>
  <c r="AW37" i="4"/>
  <c r="AR38" i="4"/>
  <c r="AS38" i="4"/>
  <c r="AT38" i="4"/>
  <c r="AU38" i="4"/>
  <c r="AV38" i="4"/>
  <c r="AW38" i="4"/>
  <c r="AR39" i="4"/>
  <c r="AS39" i="4"/>
  <c r="AT39" i="4"/>
  <c r="AU39" i="4"/>
  <c r="AV39" i="4"/>
  <c r="AW39" i="4"/>
  <c r="AR40" i="4"/>
  <c r="AS40" i="4"/>
  <c r="AT40" i="4"/>
  <c r="AU40" i="4"/>
  <c r="AV40" i="4"/>
  <c r="AW40" i="4"/>
  <c r="AR41" i="4"/>
  <c r="AS41" i="4"/>
  <c r="AT41" i="4"/>
  <c r="AU41" i="4"/>
  <c r="AV41" i="4"/>
  <c r="AW41" i="4"/>
  <c r="AR42" i="4"/>
  <c r="AS42" i="4"/>
  <c r="AT42" i="4"/>
  <c r="AU42" i="4"/>
  <c r="AV42" i="4"/>
  <c r="AW42" i="4"/>
  <c r="AR43" i="4"/>
  <c r="AS43" i="4"/>
  <c r="AT43" i="4"/>
  <c r="AU43" i="4"/>
  <c r="AV43" i="4"/>
  <c r="AW43" i="4"/>
  <c r="AR44" i="4"/>
  <c r="AS44" i="4"/>
  <c r="AT44" i="4"/>
  <c r="AU44" i="4"/>
  <c r="AV44" i="4"/>
  <c r="AW44" i="4"/>
  <c r="AR45" i="4"/>
  <c r="AS45" i="4"/>
  <c r="AT45" i="4"/>
  <c r="AU45" i="4"/>
  <c r="AV45" i="4"/>
  <c r="AW45" i="4"/>
  <c r="AR46" i="4"/>
  <c r="AS46" i="4"/>
  <c r="AT46" i="4"/>
  <c r="AU46" i="4"/>
  <c r="AV46" i="4"/>
  <c r="AW46" i="4"/>
  <c r="AR47" i="4"/>
  <c r="AS47" i="4"/>
  <c r="AT47" i="4"/>
  <c r="AU47" i="4"/>
  <c r="AV47" i="4"/>
  <c r="AW47" i="4"/>
  <c r="AR48" i="4"/>
  <c r="AS48" i="4"/>
  <c r="AT48" i="4"/>
  <c r="AU48" i="4"/>
  <c r="AV48" i="4"/>
  <c r="AW48" i="4"/>
  <c r="AR49" i="4"/>
  <c r="AS49" i="4"/>
  <c r="AT49" i="4"/>
  <c r="AU49" i="4"/>
  <c r="AV49" i="4"/>
  <c r="AW49" i="4"/>
  <c r="AR50" i="4"/>
  <c r="AS50" i="4"/>
  <c r="AT50" i="4"/>
  <c r="AU50" i="4"/>
  <c r="AV50" i="4"/>
  <c r="AW50" i="4"/>
  <c r="AT18" i="4"/>
  <c r="AU18" i="4"/>
  <c r="AV18" i="4"/>
  <c r="AW18" i="4"/>
  <c r="AS18" i="4"/>
  <c r="AR18" i="4"/>
  <c r="V20" i="4"/>
  <c r="W20" i="4"/>
  <c r="X20" i="4"/>
  <c r="Y20" i="4"/>
  <c r="Z20" i="4"/>
  <c r="AA20" i="4"/>
  <c r="AB20" i="4"/>
  <c r="AC20" i="4"/>
  <c r="AD20" i="4"/>
  <c r="AE20" i="4"/>
  <c r="AG20" i="4"/>
  <c r="V22" i="4"/>
  <c r="W22" i="4"/>
  <c r="X22" i="4"/>
  <c r="Y22" i="4"/>
  <c r="Z22" i="4"/>
  <c r="AA22" i="4"/>
  <c r="AB22" i="4"/>
  <c r="AC22" i="4"/>
  <c r="AD22" i="4"/>
  <c r="AE22" i="4"/>
  <c r="AG22" i="4"/>
  <c r="V23" i="4"/>
  <c r="W23" i="4"/>
  <c r="X23" i="4"/>
  <c r="Y23" i="4"/>
  <c r="Z23" i="4"/>
  <c r="AA23" i="4"/>
  <c r="AB23" i="4"/>
  <c r="AC23" i="4"/>
  <c r="AD23" i="4"/>
  <c r="AE23" i="4"/>
  <c r="AG23" i="4"/>
  <c r="V24" i="4"/>
  <c r="W24" i="4"/>
  <c r="X24" i="4"/>
  <c r="Y24" i="4"/>
  <c r="Z24" i="4"/>
  <c r="AA24" i="4"/>
  <c r="AB24" i="4"/>
  <c r="AC24" i="4"/>
  <c r="AD24" i="4"/>
  <c r="AE24" i="4"/>
  <c r="AG24" i="4"/>
  <c r="V25" i="4"/>
  <c r="W25" i="4"/>
  <c r="X25" i="4"/>
  <c r="Y25" i="4"/>
  <c r="Z25" i="4"/>
  <c r="AA25" i="4"/>
  <c r="AB25" i="4"/>
  <c r="AC25" i="4"/>
  <c r="AD25" i="4"/>
  <c r="AE25" i="4"/>
  <c r="AG25" i="4"/>
  <c r="V27" i="4"/>
  <c r="W27" i="4"/>
  <c r="X27" i="4"/>
  <c r="Y27" i="4"/>
  <c r="Z27" i="4"/>
  <c r="AA27" i="4"/>
  <c r="AB27" i="4"/>
  <c r="AC27" i="4"/>
  <c r="AD27" i="4"/>
  <c r="AE27" i="4"/>
  <c r="AG27" i="4"/>
  <c r="V28" i="4"/>
  <c r="W28" i="4"/>
  <c r="X28" i="4"/>
  <c r="Y28" i="4"/>
  <c r="Z28" i="4"/>
  <c r="AA28" i="4"/>
  <c r="AB28" i="4"/>
  <c r="AC28" i="4"/>
  <c r="AD28" i="4"/>
  <c r="AE28" i="4"/>
  <c r="AG28" i="4"/>
  <c r="V29" i="4"/>
  <c r="W29" i="4"/>
  <c r="X29" i="4"/>
  <c r="Y29" i="4"/>
  <c r="Z29" i="4"/>
  <c r="AA29" i="4"/>
  <c r="AB29" i="4"/>
  <c r="AC29" i="4"/>
  <c r="AD29" i="4"/>
  <c r="AE29" i="4"/>
  <c r="AG29" i="4"/>
  <c r="V30" i="4"/>
  <c r="W30" i="4"/>
  <c r="X30" i="4"/>
  <c r="Y30" i="4"/>
  <c r="Z30" i="4"/>
  <c r="AA30" i="4"/>
  <c r="AB30" i="4"/>
  <c r="AC30" i="4"/>
  <c r="AD30" i="4"/>
  <c r="AE30" i="4"/>
  <c r="AG30" i="4"/>
  <c r="V31" i="4"/>
  <c r="W31" i="4"/>
  <c r="X31" i="4"/>
  <c r="Y31" i="4"/>
  <c r="Z31" i="4"/>
  <c r="AA31" i="4"/>
  <c r="AB31" i="4"/>
  <c r="AC31" i="4"/>
  <c r="AD31" i="4"/>
  <c r="AE31" i="4"/>
  <c r="AG31" i="4"/>
  <c r="V32" i="4"/>
  <c r="W32" i="4"/>
  <c r="X32" i="4"/>
  <c r="Y32" i="4"/>
  <c r="Z32" i="4"/>
  <c r="AA32" i="4"/>
  <c r="AB32" i="4"/>
  <c r="AC32" i="4"/>
  <c r="AD32" i="4"/>
  <c r="AE32" i="4"/>
  <c r="AG32" i="4"/>
  <c r="V33" i="4"/>
  <c r="W33" i="4"/>
  <c r="X33" i="4"/>
  <c r="Y33" i="4"/>
  <c r="Z33" i="4"/>
  <c r="AA33" i="4"/>
  <c r="AB33" i="4"/>
  <c r="AC33" i="4"/>
  <c r="AD33" i="4"/>
  <c r="AE33" i="4"/>
  <c r="AG33" i="4"/>
  <c r="V34" i="4"/>
  <c r="W34" i="4"/>
  <c r="X34" i="4"/>
  <c r="Y34" i="4"/>
  <c r="Z34" i="4"/>
  <c r="AA34" i="4"/>
  <c r="AB34" i="4"/>
  <c r="AC34" i="4"/>
  <c r="AD34" i="4"/>
  <c r="AE34" i="4"/>
  <c r="AG34" i="4"/>
  <c r="V35" i="4"/>
  <c r="W35" i="4"/>
  <c r="X35" i="4"/>
  <c r="Y35" i="4"/>
  <c r="Z35" i="4"/>
  <c r="AA35" i="4"/>
  <c r="AB35" i="4"/>
  <c r="AC35" i="4"/>
  <c r="AD35" i="4"/>
  <c r="AE35" i="4"/>
  <c r="AG35" i="4"/>
  <c r="V36" i="4"/>
  <c r="W36" i="4"/>
  <c r="X36" i="4"/>
  <c r="Y36" i="4"/>
  <c r="Z36" i="4"/>
  <c r="AA36" i="4"/>
  <c r="AB36" i="4"/>
  <c r="AC36" i="4"/>
  <c r="AD36" i="4"/>
  <c r="AE36" i="4"/>
  <c r="AG36" i="4"/>
  <c r="V37" i="4"/>
  <c r="W37" i="4"/>
  <c r="X37" i="4"/>
  <c r="Y37" i="4"/>
  <c r="Z37" i="4"/>
  <c r="AA37" i="4"/>
  <c r="AB37" i="4"/>
  <c r="AC37" i="4"/>
  <c r="AD37" i="4"/>
  <c r="AE37" i="4"/>
  <c r="AG37" i="4"/>
  <c r="V38" i="4"/>
  <c r="W38" i="4"/>
  <c r="X38" i="4"/>
  <c r="Y38" i="4"/>
  <c r="Z38" i="4"/>
  <c r="AA38" i="4"/>
  <c r="AB38" i="4"/>
  <c r="AC38" i="4"/>
  <c r="AD38" i="4"/>
  <c r="AE38" i="4"/>
  <c r="AG38" i="4"/>
  <c r="V39" i="4"/>
  <c r="W39" i="4"/>
  <c r="X39" i="4"/>
  <c r="Y39" i="4"/>
  <c r="Z39" i="4"/>
  <c r="AA39" i="4"/>
  <c r="AB39" i="4"/>
  <c r="AC39" i="4"/>
  <c r="AD39" i="4"/>
  <c r="AE39" i="4"/>
  <c r="AG39" i="4"/>
  <c r="V40" i="4"/>
  <c r="W40" i="4"/>
  <c r="X40" i="4"/>
  <c r="Y40" i="4"/>
  <c r="Z40" i="4"/>
  <c r="AA40" i="4"/>
  <c r="AB40" i="4"/>
  <c r="AC40" i="4"/>
  <c r="AD40" i="4"/>
  <c r="AE40" i="4"/>
  <c r="AG40" i="4"/>
  <c r="V41" i="4"/>
  <c r="W41" i="4"/>
  <c r="X41" i="4"/>
  <c r="Y41" i="4"/>
  <c r="Z41" i="4"/>
  <c r="AA41" i="4"/>
  <c r="AB41" i="4"/>
  <c r="AC41" i="4"/>
  <c r="AD41" i="4"/>
  <c r="AE41" i="4"/>
  <c r="AG41" i="4"/>
  <c r="V42" i="4"/>
  <c r="W42" i="4"/>
  <c r="X42" i="4"/>
  <c r="Y42" i="4"/>
  <c r="Z42" i="4"/>
  <c r="AA42" i="4"/>
  <c r="AB42" i="4"/>
  <c r="AC42" i="4"/>
  <c r="AD42" i="4"/>
  <c r="AE42" i="4"/>
  <c r="AG42" i="4"/>
  <c r="V43" i="4"/>
  <c r="W43" i="4"/>
  <c r="X43" i="4"/>
  <c r="Y43" i="4"/>
  <c r="Z43" i="4"/>
  <c r="AA43" i="4"/>
  <c r="AB43" i="4"/>
  <c r="AC43" i="4"/>
  <c r="AD43" i="4"/>
  <c r="AE43" i="4"/>
  <c r="AG43" i="4"/>
  <c r="V44" i="4"/>
  <c r="W44" i="4"/>
  <c r="X44" i="4"/>
  <c r="Y44" i="4"/>
  <c r="Z44" i="4"/>
  <c r="AA44" i="4"/>
  <c r="AB44" i="4"/>
  <c r="AC44" i="4"/>
  <c r="AD44" i="4"/>
  <c r="AE44" i="4"/>
  <c r="AG44" i="4"/>
  <c r="V45" i="4"/>
  <c r="W45" i="4"/>
  <c r="X45" i="4"/>
  <c r="Y45" i="4"/>
  <c r="Z45" i="4"/>
  <c r="AA45" i="4"/>
  <c r="AB45" i="4"/>
  <c r="AC45" i="4"/>
  <c r="AD45" i="4"/>
  <c r="AE45" i="4"/>
  <c r="AG45" i="4"/>
  <c r="V46" i="4"/>
  <c r="W46" i="4"/>
  <c r="X46" i="4"/>
  <c r="Y46" i="4"/>
  <c r="Z46" i="4"/>
  <c r="AA46" i="4"/>
  <c r="AB46" i="4"/>
  <c r="AC46" i="4"/>
  <c r="AD46" i="4"/>
  <c r="AE46" i="4"/>
  <c r="AG46" i="4"/>
  <c r="V47" i="4"/>
  <c r="W47" i="4"/>
  <c r="X47" i="4"/>
  <c r="Y47" i="4"/>
  <c r="Z47" i="4"/>
  <c r="AA47" i="4"/>
  <c r="AB47" i="4"/>
  <c r="AC47" i="4"/>
  <c r="AD47" i="4"/>
  <c r="AE47" i="4"/>
  <c r="AG47" i="4"/>
  <c r="V48" i="4"/>
  <c r="W48" i="4"/>
  <c r="X48" i="4"/>
  <c r="Y48" i="4"/>
  <c r="Z48" i="4"/>
  <c r="AA48" i="4"/>
  <c r="AB48" i="4"/>
  <c r="AC48" i="4"/>
  <c r="AD48" i="4"/>
  <c r="AE48" i="4"/>
  <c r="AG48" i="4"/>
  <c r="V49" i="4"/>
  <c r="W49" i="4"/>
  <c r="X49" i="4"/>
  <c r="Y49" i="4"/>
  <c r="Z49" i="4"/>
  <c r="AA49" i="4"/>
  <c r="AB49" i="4"/>
  <c r="AC49" i="4"/>
  <c r="AD49" i="4"/>
  <c r="AE49" i="4"/>
  <c r="AG49" i="4"/>
  <c r="V50" i="4"/>
  <c r="W50" i="4"/>
  <c r="X50" i="4"/>
  <c r="Y50" i="4"/>
  <c r="Z50" i="4"/>
  <c r="AA50" i="4"/>
  <c r="AB50" i="4"/>
  <c r="AC50" i="4"/>
  <c r="AD50" i="4"/>
  <c r="AE50" i="4"/>
  <c r="AG50" i="4"/>
  <c r="AJ18" i="4"/>
  <c r="AK18" i="4"/>
  <c r="AL18" i="4"/>
  <c r="AM18" i="4"/>
  <c r="AG18" i="4"/>
  <c r="AE18" i="4"/>
  <c r="AD18" i="4"/>
  <c r="AC18" i="4"/>
  <c r="AB18" i="4"/>
  <c r="AA18" i="4"/>
  <c r="Z18" i="4"/>
  <c r="Y18" i="4"/>
  <c r="X18" i="4"/>
  <c r="W18" i="4"/>
  <c r="V18" i="4"/>
  <c r="U20" i="4"/>
  <c r="U22" i="4"/>
  <c r="U23" i="4"/>
  <c r="U24" i="4"/>
  <c r="U25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18" i="4"/>
  <c r="K42" i="2"/>
  <c r="K25" i="4" s="1"/>
  <c r="K44" i="2"/>
  <c r="K27" i="4" s="1"/>
  <c r="K45" i="2"/>
  <c r="K28" i="4" s="1"/>
  <c r="K46" i="2"/>
  <c r="K29" i="4" s="1"/>
  <c r="K47" i="2"/>
  <c r="K30" i="4" s="1"/>
  <c r="K48" i="2"/>
  <c r="K31" i="4" s="1"/>
  <c r="K49" i="2"/>
  <c r="K32" i="4" s="1"/>
  <c r="K50" i="2"/>
  <c r="K33" i="4" s="1"/>
  <c r="K51" i="2"/>
  <c r="K34" i="4" s="1"/>
  <c r="K52" i="2"/>
  <c r="K35" i="4" s="1"/>
  <c r="K53" i="2"/>
  <c r="K36" i="4" s="1"/>
  <c r="K54" i="2"/>
  <c r="K37" i="4" s="1"/>
  <c r="K55" i="2"/>
  <c r="K38" i="4" s="1"/>
  <c r="K56" i="2"/>
  <c r="K40" i="4"/>
  <c r="K57" i="2"/>
  <c r="K41" i="4" s="1"/>
  <c r="K58" i="2"/>
  <c r="K42" i="4" s="1"/>
  <c r="K59" i="2"/>
  <c r="K43" i="4" s="1"/>
  <c r="K44" i="4"/>
  <c r="K61" i="2"/>
  <c r="K45" i="4" s="1"/>
  <c r="K62" i="2"/>
  <c r="K46" i="4" s="1"/>
  <c r="K63" i="2"/>
  <c r="K47" i="4" s="1"/>
  <c r="K64" i="2"/>
  <c r="K48" i="4" s="1"/>
  <c r="K65" i="2"/>
  <c r="K49" i="4" s="1"/>
  <c r="K66" i="2"/>
  <c r="K50" i="4" s="1"/>
  <c r="K35" i="2"/>
  <c r="K18" i="4" s="1"/>
  <c r="K37" i="2"/>
  <c r="K20" i="4" s="1"/>
  <c r="K39" i="2"/>
  <c r="K22" i="4" s="1"/>
  <c r="K40" i="2"/>
  <c r="K23" i="4" s="1"/>
  <c r="J37" i="2"/>
  <c r="J20" i="4" s="1"/>
  <c r="O20" i="4" s="1"/>
  <c r="J39" i="2"/>
  <c r="J22" i="4" s="1"/>
  <c r="O22" i="4" s="1"/>
  <c r="J40" i="2"/>
  <c r="J23" i="4" s="1"/>
  <c r="O23" i="4" s="1"/>
  <c r="J41" i="2"/>
  <c r="J24" i="4" s="1"/>
  <c r="O24" i="4" s="1"/>
  <c r="J42" i="2"/>
  <c r="J25" i="4" s="1"/>
  <c r="O25" i="4" s="1"/>
  <c r="J44" i="2"/>
  <c r="J27" i="4" s="1"/>
  <c r="O27" i="4" s="1"/>
  <c r="J45" i="2"/>
  <c r="J28" i="4" s="1"/>
  <c r="O28" i="4" s="1"/>
  <c r="J46" i="2"/>
  <c r="J29" i="4" s="1"/>
  <c r="O29" i="4" s="1"/>
  <c r="J47" i="2"/>
  <c r="J30" i="4" s="1"/>
  <c r="O30" i="4" s="1"/>
  <c r="J48" i="2"/>
  <c r="J31" i="4" s="1"/>
  <c r="O31" i="4" s="1"/>
  <c r="J49" i="2"/>
  <c r="J32" i="4" s="1"/>
  <c r="O32" i="4" s="1"/>
  <c r="J50" i="2"/>
  <c r="J33" i="4" s="1"/>
  <c r="O33" i="4" s="1"/>
  <c r="J51" i="2"/>
  <c r="J34" i="4" s="1"/>
  <c r="O34" i="4" s="1"/>
  <c r="J52" i="2"/>
  <c r="J35" i="4" s="1"/>
  <c r="O35" i="4" s="1"/>
  <c r="J53" i="2"/>
  <c r="J36" i="4" s="1"/>
  <c r="O36" i="4" s="1"/>
  <c r="J54" i="2"/>
  <c r="J37" i="4" s="1"/>
  <c r="O37" i="4" s="1"/>
  <c r="J55" i="2"/>
  <c r="J38" i="4" s="1"/>
  <c r="O38" i="4" s="1"/>
  <c r="J56" i="2"/>
  <c r="J39" i="4" s="1"/>
  <c r="O39" i="4" s="1"/>
  <c r="J40" i="4"/>
  <c r="O40" i="4" s="1"/>
  <c r="J57" i="2"/>
  <c r="J41" i="4" s="1"/>
  <c r="O41" i="4" s="1"/>
  <c r="J58" i="2"/>
  <c r="J42" i="4" s="1"/>
  <c r="O42" i="4" s="1"/>
  <c r="J59" i="2"/>
  <c r="J43" i="4" s="1"/>
  <c r="O43" i="4" s="1"/>
  <c r="J60" i="2"/>
  <c r="J44" i="4" s="1"/>
  <c r="J61" i="2"/>
  <c r="J62" i="2"/>
  <c r="J46" i="4" s="1"/>
  <c r="O46" i="4" s="1"/>
  <c r="J63" i="2"/>
  <c r="J47" i="4" s="1"/>
  <c r="J64" i="2"/>
  <c r="J48" i="4" s="1"/>
  <c r="O48" i="4" s="1"/>
  <c r="J65" i="2"/>
  <c r="J49" i="4" s="1"/>
  <c r="O49" i="4" s="1"/>
  <c r="J66" i="2"/>
  <c r="J50" i="4" s="1"/>
  <c r="O50" i="4" s="1"/>
  <c r="J35" i="2"/>
  <c r="B20" i="4"/>
  <c r="C20" i="4"/>
  <c r="D20" i="4"/>
  <c r="E20" i="4"/>
  <c r="F20" i="4"/>
  <c r="G20" i="4"/>
  <c r="H20" i="4"/>
  <c r="I20" i="4"/>
  <c r="B22" i="4"/>
  <c r="C22" i="4"/>
  <c r="D22" i="4"/>
  <c r="E22" i="4"/>
  <c r="F22" i="4"/>
  <c r="G22" i="4"/>
  <c r="H22" i="4"/>
  <c r="I22" i="4"/>
  <c r="B23" i="4"/>
  <c r="C23" i="4"/>
  <c r="D23" i="4"/>
  <c r="E23" i="4"/>
  <c r="F23" i="4"/>
  <c r="G23" i="4"/>
  <c r="H23" i="4"/>
  <c r="I23" i="4"/>
  <c r="B24" i="4"/>
  <c r="C24" i="4"/>
  <c r="D24" i="4"/>
  <c r="E24" i="4"/>
  <c r="F24" i="4"/>
  <c r="G24" i="4"/>
  <c r="H24" i="4"/>
  <c r="I24" i="4"/>
  <c r="B25" i="4"/>
  <c r="C25" i="4"/>
  <c r="D25" i="4"/>
  <c r="E25" i="4"/>
  <c r="F25" i="4"/>
  <c r="G25" i="4"/>
  <c r="H25" i="4"/>
  <c r="I25" i="4"/>
  <c r="B27" i="4"/>
  <c r="C27" i="4"/>
  <c r="D27" i="4"/>
  <c r="E27" i="4"/>
  <c r="F27" i="4"/>
  <c r="G27" i="4"/>
  <c r="H27" i="4"/>
  <c r="I27" i="4"/>
  <c r="B28" i="4"/>
  <c r="C28" i="4"/>
  <c r="D28" i="4"/>
  <c r="E28" i="4"/>
  <c r="F28" i="4"/>
  <c r="G28" i="4"/>
  <c r="H28" i="4"/>
  <c r="I28" i="4"/>
  <c r="B29" i="4"/>
  <c r="C29" i="4"/>
  <c r="D29" i="4"/>
  <c r="E29" i="4"/>
  <c r="F29" i="4"/>
  <c r="G29" i="4"/>
  <c r="H29" i="4"/>
  <c r="I29" i="4"/>
  <c r="B30" i="4"/>
  <c r="C30" i="4"/>
  <c r="D30" i="4"/>
  <c r="E30" i="4"/>
  <c r="F30" i="4"/>
  <c r="G30" i="4"/>
  <c r="H30" i="4"/>
  <c r="I30" i="4"/>
  <c r="B31" i="4"/>
  <c r="C31" i="4"/>
  <c r="D31" i="4"/>
  <c r="E31" i="4"/>
  <c r="F31" i="4"/>
  <c r="G31" i="4"/>
  <c r="H31" i="4"/>
  <c r="I31" i="4"/>
  <c r="B32" i="4"/>
  <c r="C32" i="4"/>
  <c r="D32" i="4"/>
  <c r="E32" i="4"/>
  <c r="F32" i="4"/>
  <c r="G32" i="4"/>
  <c r="H32" i="4"/>
  <c r="I32" i="4"/>
  <c r="B33" i="4"/>
  <c r="C33" i="4"/>
  <c r="D33" i="4"/>
  <c r="E33" i="4"/>
  <c r="F33" i="4"/>
  <c r="G33" i="4"/>
  <c r="H33" i="4"/>
  <c r="I33" i="4"/>
  <c r="B34" i="4"/>
  <c r="C34" i="4"/>
  <c r="D34" i="4"/>
  <c r="E34" i="4"/>
  <c r="F34" i="4"/>
  <c r="G34" i="4"/>
  <c r="H34" i="4"/>
  <c r="I34" i="4"/>
  <c r="B35" i="4"/>
  <c r="C35" i="4"/>
  <c r="D35" i="4"/>
  <c r="E35" i="4"/>
  <c r="F35" i="4"/>
  <c r="G35" i="4"/>
  <c r="H35" i="4"/>
  <c r="I35" i="4"/>
  <c r="B36" i="4"/>
  <c r="C36" i="4"/>
  <c r="D36" i="4"/>
  <c r="E36" i="4"/>
  <c r="F36" i="4"/>
  <c r="G36" i="4"/>
  <c r="H36" i="4"/>
  <c r="I36" i="4"/>
  <c r="B37" i="4"/>
  <c r="C37" i="4"/>
  <c r="D37" i="4"/>
  <c r="E37" i="4"/>
  <c r="F37" i="4"/>
  <c r="G37" i="4"/>
  <c r="H37" i="4"/>
  <c r="I37" i="4"/>
  <c r="B38" i="4"/>
  <c r="C38" i="4"/>
  <c r="D38" i="4"/>
  <c r="E38" i="4"/>
  <c r="F38" i="4"/>
  <c r="G38" i="4"/>
  <c r="H38" i="4"/>
  <c r="I38" i="4"/>
  <c r="B39" i="4"/>
  <c r="C39" i="4"/>
  <c r="D39" i="4"/>
  <c r="E39" i="4"/>
  <c r="F39" i="4"/>
  <c r="G39" i="4"/>
  <c r="H39" i="4"/>
  <c r="I39" i="4"/>
  <c r="B40" i="4"/>
  <c r="C40" i="4"/>
  <c r="D40" i="4"/>
  <c r="E40" i="4"/>
  <c r="F40" i="4"/>
  <c r="G40" i="4"/>
  <c r="H40" i="4"/>
  <c r="I40" i="4"/>
  <c r="B41" i="4"/>
  <c r="C41" i="4"/>
  <c r="D41" i="4"/>
  <c r="E41" i="4"/>
  <c r="F41" i="4"/>
  <c r="G41" i="4"/>
  <c r="H41" i="4"/>
  <c r="I41" i="4"/>
  <c r="B42" i="4"/>
  <c r="C42" i="4"/>
  <c r="D42" i="4"/>
  <c r="E42" i="4"/>
  <c r="F42" i="4"/>
  <c r="G42" i="4"/>
  <c r="H42" i="4"/>
  <c r="I42" i="4"/>
  <c r="B43" i="4"/>
  <c r="C43" i="4"/>
  <c r="D43" i="4"/>
  <c r="E43" i="4"/>
  <c r="F43" i="4"/>
  <c r="G43" i="4"/>
  <c r="H43" i="4"/>
  <c r="I43" i="4"/>
  <c r="B44" i="4"/>
  <c r="C44" i="4"/>
  <c r="D44" i="4"/>
  <c r="E44" i="4"/>
  <c r="F44" i="4"/>
  <c r="G44" i="4"/>
  <c r="H44" i="4"/>
  <c r="I44" i="4"/>
  <c r="B45" i="4"/>
  <c r="C45" i="4"/>
  <c r="D45" i="4"/>
  <c r="E45" i="4"/>
  <c r="F45" i="4"/>
  <c r="G45" i="4"/>
  <c r="H45" i="4"/>
  <c r="I45" i="4"/>
  <c r="J45" i="4"/>
  <c r="O45" i="4" s="1"/>
  <c r="B46" i="4"/>
  <c r="C46" i="4"/>
  <c r="D46" i="4"/>
  <c r="E46" i="4"/>
  <c r="F46" i="4"/>
  <c r="G46" i="4"/>
  <c r="H46" i="4"/>
  <c r="I46" i="4"/>
  <c r="B47" i="4"/>
  <c r="C47" i="4"/>
  <c r="D47" i="4"/>
  <c r="E47" i="4"/>
  <c r="F47" i="4"/>
  <c r="G47" i="4"/>
  <c r="H47" i="4"/>
  <c r="I47" i="4"/>
  <c r="B48" i="4"/>
  <c r="C48" i="4"/>
  <c r="D48" i="4"/>
  <c r="E48" i="4"/>
  <c r="F48" i="4"/>
  <c r="G48" i="4"/>
  <c r="H48" i="4"/>
  <c r="I48" i="4"/>
  <c r="B49" i="4"/>
  <c r="C49" i="4"/>
  <c r="D49" i="4"/>
  <c r="E49" i="4"/>
  <c r="F49" i="4"/>
  <c r="G49" i="4"/>
  <c r="H49" i="4"/>
  <c r="I49" i="4"/>
  <c r="B50" i="4"/>
  <c r="C50" i="4"/>
  <c r="D50" i="4"/>
  <c r="E50" i="4"/>
  <c r="F50" i="4"/>
  <c r="G50" i="4"/>
  <c r="H50" i="4"/>
  <c r="I50" i="4"/>
  <c r="C18" i="4"/>
  <c r="D18" i="4"/>
  <c r="E18" i="4"/>
  <c r="F18" i="4"/>
  <c r="G18" i="4"/>
  <c r="H18" i="4"/>
  <c r="I18" i="4"/>
  <c r="B18" i="4"/>
  <c r="J18" i="4" l="1"/>
  <c r="J69" i="2"/>
  <c r="K39" i="4"/>
  <c r="AX17" i="4"/>
  <c r="AY17" i="4" s="1"/>
  <c r="BA17" i="4" s="1"/>
  <c r="O44" i="4"/>
  <c r="L44" i="4"/>
  <c r="A49" i="2"/>
  <c r="O19" i="4"/>
  <c r="N19" i="4"/>
  <c r="A34" i="4"/>
  <c r="A35" i="4" s="1"/>
  <c r="A36" i="4" s="1"/>
  <c r="A37" i="4" s="1"/>
  <c r="A38" i="4" s="1"/>
  <c r="L21" i="4"/>
  <c r="M19" i="4"/>
  <c r="M21" i="4"/>
  <c r="N21" i="4"/>
  <c r="O26" i="4"/>
  <c r="M26" i="4"/>
  <c r="N26" i="4"/>
  <c r="L26" i="4"/>
  <c r="O47" i="4"/>
  <c r="L47" i="4"/>
  <c r="J52" i="4"/>
  <c r="M18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5" i="4"/>
  <c r="N24" i="4"/>
  <c r="N23" i="4"/>
  <c r="N22" i="4"/>
  <c r="N20" i="4"/>
  <c r="N18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5" i="4"/>
  <c r="M24" i="4"/>
  <c r="M23" i="4"/>
  <c r="M22" i="4"/>
  <c r="M20" i="4"/>
  <c r="O18" i="4"/>
  <c r="L50" i="4"/>
  <c r="L49" i="4"/>
  <c r="L48" i="4"/>
  <c r="L46" i="4"/>
  <c r="L45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5" i="4"/>
  <c r="L24" i="4"/>
  <c r="L23" i="4"/>
  <c r="L22" i="4"/>
  <c r="L20" i="4"/>
  <c r="L18" i="4"/>
  <c r="R37" i="2"/>
  <c r="R44" i="2"/>
  <c r="R45" i="2"/>
  <c r="R46" i="2"/>
  <c r="R47" i="2"/>
  <c r="R48" i="2"/>
  <c r="R49" i="2"/>
  <c r="R50" i="2"/>
  <c r="R52" i="2"/>
  <c r="R53" i="2"/>
  <c r="R56" i="2"/>
  <c r="R58" i="2"/>
  <c r="R59" i="2"/>
  <c r="R61" i="2"/>
  <c r="R63" i="2"/>
  <c r="R66" i="2"/>
  <c r="K41" i="2"/>
  <c r="K24" i="4" s="1"/>
  <c r="AV52" i="4"/>
  <c r="AW52" i="4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U52" i="4"/>
  <c r="AT52" i="4"/>
  <c r="AS52" i="4"/>
  <c r="AR52" i="4"/>
  <c r="AM52" i="4"/>
  <c r="AK52" i="4"/>
  <c r="AI52" i="4"/>
  <c r="AJ52" i="4"/>
  <c r="AL52" i="4"/>
  <c r="AH52" i="4"/>
  <c r="AD52" i="4"/>
  <c r="AE52" i="4"/>
  <c r="AF52" i="4"/>
  <c r="AG52" i="4"/>
  <c r="AB52" i="4"/>
  <c r="AA52" i="4"/>
  <c r="Z52" i="4"/>
  <c r="AC52" i="4"/>
  <c r="Y52" i="4"/>
  <c r="X52" i="4"/>
  <c r="W52" i="4"/>
  <c r="V52" i="4"/>
  <c r="U52" i="4"/>
  <c r="W24" i="2"/>
  <c r="W23" i="2"/>
  <c r="W22" i="2"/>
  <c r="W21" i="2"/>
  <c r="W20" i="2"/>
  <c r="W19" i="2"/>
  <c r="W18" i="2"/>
  <c r="W17" i="2"/>
  <c r="W16" i="2"/>
  <c r="W15" i="2"/>
  <c r="V14" i="2"/>
  <c r="T14" i="2"/>
  <c r="S14" i="2"/>
  <c r="S9" i="2" s="1"/>
  <c r="W13" i="2"/>
  <c r="W12" i="2"/>
  <c r="W11" i="2"/>
  <c r="W10" i="2"/>
  <c r="V9" i="2"/>
  <c r="U9" i="2"/>
  <c r="T9" i="2"/>
  <c r="T5" i="2" s="1"/>
  <c r="W8" i="2"/>
  <c r="W7" i="2"/>
  <c r="S6" i="2"/>
  <c r="W2" i="2"/>
  <c r="AN52" i="4"/>
  <c r="K69" i="2" l="1"/>
  <c r="U5" i="2"/>
  <c r="U25" i="2"/>
  <c r="R69" i="2"/>
  <c r="K52" i="4"/>
  <c r="A39" i="4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0" i="2"/>
  <c r="A51" i="2" s="1"/>
  <c r="A52" i="2" s="1"/>
  <c r="A53" i="2" s="1"/>
  <c r="A54" i="2" s="1"/>
  <c r="A55" i="2" s="1"/>
  <c r="A56" i="2" s="1"/>
  <c r="T19" i="4"/>
  <c r="P19" i="4"/>
  <c r="T21" i="4"/>
  <c r="P21" i="4"/>
  <c r="T26" i="4"/>
  <c r="T35" i="4"/>
  <c r="T38" i="4"/>
  <c r="T40" i="4"/>
  <c r="T44" i="4"/>
  <c r="T46" i="4"/>
  <c r="T50" i="4"/>
  <c r="P26" i="4"/>
  <c r="S26" i="4" s="1"/>
  <c r="T30" i="4"/>
  <c r="P49" i="4"/>
  <c r="Q49" i="4" s="1"/>
  <c r="R49" i="4" s="1"/>
  <c r="T22" i="4"/>
  <c r="T27" i="4"/>
  <c r="T20" i="4"/>
  <c r="T25" i="4"/>
  <c r="T32" i="4"/>
  <c r="T34" i="4"/>
  <c r="T37" i="4"/>
  <c r="T39" i="4"/>
  <c r="T43" i="4"/>
  <c r="T45" i="4"/>
  <c r="T49" i="4"/>
  <c r="O52" i="4"/>
  <c r="P50" i="4"/>
  <c r="Q50" i="4" s="1"/>
  <c r="R50" i="4" s="1"/>
  <c r="T23" i="4"/>
  <c r="T28" i="4"/>
  <c r="T41" i="4"/>
  <c r="T47" i="4"/>
  <c r="T24" i="4"/>
  <c r="T29" i="4"/>
  <c r="T31" i="4"/>
  <c r="T33" i="4"/>
  <c r="T36" i="4"/>
  <c r="T42" i="4"/>
  <c r="T48" i="4"/>
  <c r="P48" i="4"/>
  <c r="Q48" i="4" s="1"/>
  <c r="R48" i="4" s="1"/>
  <c r="P27" i="4"/>
  <c r="S27" i="4" s="1"/>
  <c r="P35" i="4"/>
  <c r="Q35" i="4" s="1"/>
  <c r="R35" i="4" s="1"/>
  <c r="P46" i="4"/>
  <c r="S46" i="4" s="1"/>
  <c r="P23" i="4"/>
  <c r="Q23" i="4" s="1"/>
  <c r="R23" i="4" s="1"/>
  <c r="P30" i="4"/>
  <c r="Q30" i="4" s="1"/>
  <c r="R30" i="4" s="1"/>
  <c r="P38" i="4"/>
  <c r="Q38" i="4" s="1"/>
  <c r="R38" i="4" s="1"/>
  <c r="P44" i="4"/>
  <c r="Q44" i="4" s="1"/>
  <c r="R44" i="4" s="1"/>
  <c r="P40" i="4"/>
  <c r="S40" i="4" s="1"/>
  <c r="P25" i="4"/>
  <c r="Q25" i="4" s="1"/>
  <c r="R25" i="4" s="1"/>
  <c r="P29" i="4"/>
  <c r="S29" i="4" s="1"/>
  <c r="P31" i="4"/>
  <c r="Q31" i="4" s="1"/>
  <c r="R31" i="4" s="1"/>
  <c r="P33" i="4"/>
  <c r="Q33" i="4" s="1"/>
  <c r="R33" i="4" s="1"/>
  <c r="P36" i="4"/>
  <c r="Q36" i="4" s="1"/>
  <c r="R36" i="4" s="1"/>
  <c r="P42" i="4"/>
  <c r="Q42" i="4" s="1"/>
  <c r="P18" i="4"/>
  <c r="Q18" i="4" s="1"/>
  <c r="P28" i="4"/>
  <c r="S28" i="4" s="1"/>
  <c r="P41" i="4"/>
  <c r="S41" i="4" s="1"/>
  <c r="P32" i="4"/>
  <c r="S32" i="4" s="1"/>
  <c r="P34" i="4"/>
  <c r="Q34" i="4" s="1"/>
  <c r="R34" i="4" s="1"/>
  <c r="P37" i="4"/>
  <c r="S37" i="4" s="1"/>
  <c r="P39" i="4"/>
  <c r="Q39" i="4" s="1"/>
  <c r="R39" i="4" s="1"/>
  <c r="P45" i="4"/>
  <c r="S45" i="4" s="1"/>
  <c r="P43" i="4"/>
  <c r="S43" i="4" s="1"/>
  <c r="N52" i="4"/>
  <c r="P22" i="4"/>
  <c r="Q22" i="4" s="1"/>
  <c r="R22" i="4" s="1"/>
  <c r="P20" i="4"/>
  <c r="S20" i="4" s="1"/>
  <c r="L52" i="4"/>
  <c r="T18" i="4"/>
  <c r="P24" i="4"/>
  <c r="P47" i="4"/>
  <c r="M52" i="4"/>
  <c r="V25" i="2"/>
  <c r="V5" i="2"/>
  <c r="W14" i="2"/>
  <c r="S25" i="2"/>
  <c r="S5" i="2"/>
  <c r="W9" i="2"/>
  <c r="T25" i="2"/>
  <c r="W6" i="2"/>
  <c r="A57" i="2" l="1"/>
  <c r="A58" i="2" s="1"/>
  <c r="A59" i="2" s="1"/>
  <c r="A60" i="2" s="1"/>
  <c r="A61" i="2" s="1"/>
  <c r="A62" i="2" s="1"/>
  <c r="A63" i="2" s="1"/>
  <c r="A64" i="2" s="1"/>
  <c r="A65" i="2" s="1"/>
  <c r="A66" i="2" s="1"/>
  <c r="W25" i="2"/>
  <c r="S50" i="4"/>
  <c r="Q26" i="4"/>
  <c r="R26" i="4" s="1"/>
  <c r="AQ26" i="4" s="1"/>
  <c r="Q19" i="4"/>
  <c r="R19" i="4" s="1"/>
  <c r="S19" i="4"/>
  <c r="S21" i="4"/>
  <c r="Q21" i="4"/>
  <c r="R21" i="4" s="1"/>
  <c r="Q46" i="4"/>
  <c r="R46" i="4" s="1"/>
  <c r="AQ46" i="4" s="1"/>
  <c r="S49" i="4"/>
  <c r="S48" i="4"/>
  <c r="S44" i="4"/>
  <c r="Q27" i="4"/>
  <c r="R27" i="4" s="1"/>
  <c r="AO27" i="4" s="1"/>
  <c r="S38" i="4"/>
  <c r="Q29" i="4"/>
  <c r="R29" i="4" s="1"/>
  <c r="AO29" i="4" s="1"/>
  <c r="S39" i="4"/>
  <c r="S30" i="4"/>
  <c r="Q28" i="4"/>
  <c r="R28" i="4" s="1"/>
  <c r="AP28" i="4" s="1"/>
  <c r="Q32" i="4"/>
  <c r="R32" i="4" s="1"/>
  <c r="AP32" i="4" s="1"/>
  <c r="S25" i="4"/>
  <c r="S36" i="4"/>
  <c r="T52" i="4"/>
  <c r="S35" i="4"/>
  <c r="S18" i="4"/>
  <c r="S22" i="4"/>
  <c r="S42" i="4"/>
  <c r="Q20" i="4"/>
  <c r="R20" i="4" s="1"/>
  <c r="AO20" i="4" s="1"/>
  <c r="S23" i="4"/>
  <c r="Q37" i="4"/>
  <c r="R37" i="4" s="1"/>
  <c r="AP37" i="4" s="1"/>
  <c r="Q40" i="4"/>
  <c r="R40" i="4" s="1"/>
  <c r="AP40" i="4" s="1"/>
  <c r="S33" i="4"/>
  <c r="Q45" i="4"/>
  <c r="R45" i="4" s="1"/>
  <c r="AP45" i="4" s="1"/>
  <c r="S34" i="4"/>
  <c r="R42" i="4"/>
  <c r="AO42" i="4" s="1"/>
  <c r="S31" i="4"/>
  <c r="Q41" i="4"/>
  <c r="R41" i="4" s="1"/>
  <c r="Q43" i="4"/>
  <c r="R43" i="4" s="1"/>
  <c r="AP43" i="4" s="1"/>
  <c r="AO35" i="4"/>
  <c r="AP35" i="4"/>
  <c r="AQ35" i="4"/>
  <c r="AO30" i="4"/>
  <c r="AP30" i="4"/>
  <c r="AQ30" i="4"/>
  <c r="AO44" i="4"/>
  <c r="AP44" i="4"/>
  <c r="AQ44" i="4"/>
  <c r="AO23" i="4"/>
  <c r="AP23" i="4"/>
  <c r="AQ23" i="4"/>
  <c r="AO50" i="4"/>
  <c r="AP50" i="4"/>
  <c r="AQ50" i="4"/>
  <c r="AP49" i="4"/>
  <c r="AQ49" i="4"/>
  <c r="AO49" i="4"/>
  <c r="AQ33" i="4"/>
  <c r="AO33" i="4"/>
  <c r="AP33" i="4"/>
  <c r="AQ48" i="4"/>
  <c r="AO48" i="4"/>
  <c r="AP48" i="4"/>
  <c r="AP39" i="4"/>
  <c r="AQ39" i="4"/>
  <c r="AO39" i="4"/>
  <c r="AO38" i="4"/>
  <c r="AP38" i="4"/>
  <c r="AQ38" i="4"/>
  <c r="W5" i="2"/>
  <c r="AP34" i="4"/>
  <c r="AQ34" i="4"/>
  <c r="AO34" i="4"/>
  <c r="AP22" i="4"/>
  <c r="AQ22" i="4"/>
  <c r="AO22" i="4"/>
  <c r="AQ36" i="4"/>
  <c r="AO36" i="4"/>
  <c r="AP36" i="4"/>
  <c r="AQ25" i="4"/>
  <c r="AO25" i="4"/>
  <c r="AP25" i="4"/>
  <c r="AQ31" i="4"/>
  <c r="AO31" i="4"/>
  <c r="AP31" i="4"/>
  <c r="S24" i="4"/>
  <c r="Q24" i="4"/>
  <c r="R24" i="4" s="1"/>
  <c r="P52" i="4"/>
  <c r="S47" i="4"/>
  <c r="Q47" i="4"/>
  <c r="R47" i="4" s="1"/>
  <c r="R18" i="4"/>
  <c r="AP26" i="4" l="1"/>
  <c r="AQ27" i="4"/>
  <c r="AP46" i="4"/>
  <c r="AO46" i="4"/>
  <c r="AO26" i="4"/>
  <c r="AO19" i="4"/>
  <c r="AP19" i="4"/>
  <c r="AQ19" i="4"/>
  <c r="AP27" i="4"/>
  <c r="AQ21" i="4"/>
  <c r="AP21" i="4"/>
  <c r="AO21" i="4"/>
  <c r="AP29" i="4"/>
  <c r="AQ28" i="4"/>
  <c r="AO28" i="4"/>
  <c r="AQ20" i="4"/>
  <c r="AX26" i="4"/>
  <c r="AY26" i="4" s="1"/>
  <c r="BA26" i="4" s="1"/>
  <c r="AQ29" i="4"/>
  <c r="AQ32" i="4"/>
  <c r="AO45" i="4"/>
  <c r="AQ45" i="4"/>
  <c r="AO32" i="4"/>
  <c r="AP20" i="4"/>
  <c r="AQ42" i="4"/>
  <c r="AO40" i="4"/>
  <c r="AX49" i="4"/>
  <c r="AY49" i="4" s="1"/>
  <c r="BA49" i="4" s="1"/>
  <c r="AO37" i="4"/>
  <c r="AQ37" i="4"/>
  <c r="AQ40" i="4"/>
  <c r="AP42" i="4"/>
  <c r="AX36" i="4"/>
  <c r="AY36" i="4" s="1"/>
  <c r="BA36" i="4" s="1"/>
  <c r="AX39" i="4"/>
  <c r="AY39" i="4" s="1"/>
  <c r="BA39" i="4" s="1"/>
  <c r="AX50" i="4"/>
  <c r="AY50" i="4" s="1"/>
  <c r="BA50" i="4" s="1"/>
  <c r="AX35" i="4"/>
  <c r="AY35" i="4" s="1"/>
  <c r="BA35" i="4" s="1"/>
  <c r="AQ41" i="4"/>
  <c r="AO41" i="4"/>
  <c r="AP41" i="4"/>
  <c r="R52" i="4"/>
  <c r="AX34" i="4"/>
  <c r="AY34" i="4" s="1"/>
  <c r="BA34" i="4" s="1"/>
  <c r="AX31" i="4"/>
  <c r="AY31" i="4" s="1"/>
  <c r="BA31" i="4" s="1"/>
  <c r="AX25" i="4"/>
  <c r="AY25" i="4" s="1"/>
  <c r="BA25" i="4" s="1"/>
  <c r="AX38" i="4"/>
  <c r="AY38" i="4" s="1"/>
  <c r="BA38" i="4" s="1"/>
  <c r="AX48" i="4"/>
  <c r="AY48" i="4" s="1"/>
  <c r="BA48" i="4" s="1"/>
  <c r="AX33" i="4"/>
  <c r="AY33" i="4" s="1"/>
  <c r="BA33" i="4" s="1"/>
  <c r="AX44" i="4"/>
  <c r="AY44" i="4" s="1"/>
  <c r="BA44" i="4" s="1"/>
  <c r="AO43" i="4"/>
  <c r="AQ43" i="4"/>
  <c r="AX30" i="4"/>
  <c r="AY30" i="4" s="1"/>
  <c r="BA30" i="4" s="1"/>
  <c r="AX23" i="4"/>
  <c r="AY23" i="4" s="1"/>
  <c r="BA23" i="4" s="1"/>
  <c r="AX22" i="4"/>
  <c r="AY22" i="4" s="1"/>
  <c r="BA22" i="4" s="1"/>
  <c r="AO47" i="4"/>
  <c r="AP47" i="4"/>
  <c r="AQ47" i="4"/>
  <c r="Q52" i="4"/>
  <c r="AP18" i="4"/>
  <c r="AO18" i="4"/>
  <c r="AQ18" i="4"/>
  <c r="AO24" i="4"/>
  <c r="AP24" i="4"/>
  <c r="AQ24" i="4"/>
  <c r="S52" i="4"/>
  <c r="AX46" i="4" l="1"/>
  <c r="AY46" i="4" s="1"/>
  <c r="BA46" i="4" s="1"/>
  <c r="AX27" i="4"/>
  <c r="AY27" i="4" s="1"/>
  <c r="BA27" i="4" s="1"/>
  <c r="AX19" i="4"/>
  <c r="AY19" i="4" s="1"/>
  <c r="BA19" i="4" s="1"/>
  <c r="AX21" i="4"/>
  <c r="AY21" i="4" s="1"/>
  <c r="BA21" i="4" s="1"/>
  <c r="AX18" i="4"/>
  <c r="AY18" i="4" s="1"/>
  <c r="AX28" i="4"/>
  <c r="AY28" i="4" s="1"/>
  <c r="BA28" i="4" s="1"/>
  <c r="AX45" i="4"/>
  <c r="AY45" i="4" s="1"/>
  <c r="BA45" i="4" s="1"/>
  <c r="AX37" i="4"/>
  <c r="AY37" i="4" s="1"/>
  <c r="BA37" i="4" s="1"/>
  <c r="AX29" i="4"/>
  <c r="AY29" i="4" s="1"/>
  <c r="BA29" i="4" s="1"/>
  <c r="AX32" i="4"/>
  <c r="AY32" i="4" s="1"/>
  <c r="BA32" i="4" s="1"/>
  <c r="AX20" i="4"/>
  <c r="AY20" i="4" s="1"/>
  <c r="BA20" i="4" s="1"/>
  <c r="AX42" i="4"/>
  <c r="AY42" i="4" s="1"/>
  <c r="BA42" i="4" s="1"/>
  <c r="AX40" i="4"/>
  <c r="AY40" i="4" s="1"/>
  <c r="BA40" i="4" s="1"/>
  <c r="AX47" i="4"/>
  <c r="AY47" i="4" s="1"/>
  <c r="BA47" i="4" s="1"/>
  <c r="AX43" i="4"/>
  <c r="AY43" i="4" s="1"/>
  <c r="BA43" i="4" s="1"/>
  <c r="AX41" i="4"/>
  <c r="AY41" i="4" s="1"/>
  <c r="BA41" i="4" s="1"/>
  <c r="AX24" i="4"/>
  <c r="AY24" i="4" s="1"/>
  <c r="BA24" i="4" s="1"/>
  <c r="AQ52" i="4"/>
  <c r="AO52" i="4"/>
  <c r="AP52" i="4"/>
  <c r="AX52" i="4" l="1"/>
  <c r="BA18" i="4"/>
  <c r="BA52" i="4" s="1"/>
  <c r="AY52" i="4"/>
</calcChain>
</file>

<file path=xl/sharedStrings.xml><?xml version="1.0" encoding="utf-8"?>
<sst xmlns="http://schemas.openxmlformats.org/spreadsheetml/2006/main" count="401" uniqueCount="248">
  <si>
    <t>Показатели на начало учебного года</t>
  </si>
  <si>
    <t>0</t>
  </si>
  <si>
    <t>ИТОГО</t>
  </si>
  <si>
    <t>ТАРИФИКАЦИОННЫЙ  СПИСОК</t>
  </si>
  <si>
    <t>№ п/п</t>
  </si>
  <si>
    <t>Ф.И.О.</t>
  </si>
  <si>
    <t>Образование</t>
  </si>
  <si>
    <t>Ступень/звено</t>
  </si>
  <si>
    <t>Ставка</t>
  </si>
  <si>
    <t>Доплата 10%</t>
  </si>
  <si>
    <t>Основные часы</t>
  </si>
  <si>
    <t>1-4</t>
  </si>
  <si>
    <t>5-9</t>
  </si>
  <si>
    <t>10-11</t>
  </si>
  <si>
    <t>%</t>
  </si>
  <si>
    <t>кл</t>
  </si>
  <si>
    <t>часы</t>
  </si>
  <si>
    <t>Педагогический  стаж</t>
  </si>
  <si>
    <t>Коэффициент</t>
  </si>
  <si>
    <t>Количество ставок</t>
  </si>
  <si>
    <t>ВСЕГО</t>
  </si>
  <si>
    <t xml:space="preserve">2)Число кл-комплектов </t>
  </si>
  <si>
    <t xml:space="preserve">3)Число учащихся </t>
  </si>
  <si>
    <t>1)Число классов (групп)</t>
  </si>
  <si>
    <t>4)Общее число часов преподавательской  работы в неделю по тарификации, в т.ч.</t>
  </si>
  <si>
    <t>а) число часов  по учебному плану, из них:</t>
  </si>
  <si>
    <t>вариативная часть</t>
  </si>
  <si>
    <t>б) дополнительных часов,  всего</t>
  </si>
  <si>
    <t>обучение на дому</t>
  </si>
  <si>
    <t>физической культуры</t>
  </si>
  <si>
    <t>музыки</t>
  </si>
  <si>
    <t>в связи с делением классов на группы при проведении занятий по:</t>
  </si>
  <si>
    <t>иностранному языку</t>
  </si>
  <si>
    <t>трудовому обучению</t>
  </si>
  <si>
    <t>физической культуре</t>
  </si>
  <si>
    <t>информатике и основам вычислительной техники</t>
  </si>
  <si>
    <t>технологии</t>
  </si>
  <si>
    <t>русскому языку в классах с казахским языком обучения</t>
  </si>
  <si>
    <t>казахскому языку в классах с русским языком обучения</t>
  </si>
  <si>
    <t>казахской литературы в классах с русским языком обучения</t>
  </si>
  <si>
    <t xml:space="preserve"> 5-9 кл.</t>
  </si>
  <si>
    <t xml:space="preserve"> 10-12 кл.</t>
  </si>
  <si>
    <t>Преподаваемый  предмет</t>
  </si>
  <si>
    <t>Доплата за наставничество (100 % от БДО)</t>
  </si>
  <si>
    <t>МРП</t>
  </si>
  <si>
    <t>Доплата за ведение внеурочных спортивных занятий ( 100% от БДО)</t>
  </si>
  <si>
    <t>127 вид</t>
  </si>
  <si>
    <t>111 вид- 20% и 112 вид 30%</t>
  </si>
  <si>
    <t>122 вид</t>
  </si>
  <si>
    <t>мастер 144 вид, исследователь 143 вид, эксперт 142 вид, модератор 141 вид</t>
  </si>
  <si>
    <t>1-4  класс 130 вид, 5-12 класс 124 вид</t>
  </si>
  <si>
    <t>Доплата за степень магистра по научно-педагогическому направлению
 ( 10 МРП)</t>
  </si>
  <si>
    <t>БДО: 17697 тенге</t>
  </si>
  <si>
    <t>0 кл</t>
  </si>
  <si>
    <t xml:space="preserve"> 1-4 кл.</t>
  </si>
  <si>
    <t>по профильным предметам (самопознание)</t>
  </si>
  <si>
    <t>Главный бухгалтер:</t>
  </si>
  <si>
    <t>Зам директора по УЧ:</t>
  </si>
  <si>
    <t>Главный экономист:</t>
  </si>
  <si>
    <t>Главный специалист:</t>
  </si>
  <si>
    <t>Профорг школы:</t>
  </si>
  <si>
    <t xml:space="preserve"> Заработная плата (кол-во часов в неделю)</t>
  </si>
  <si>
    <t xml:space="preserve">Доплата за проверку тетрадей </t>
  </si>
  <si>
    <t>классное руководство</t>
  </si>
  <si>
    <t xml:space="preserve">         1-4</t>
  </si>
  <si>
    <t xml:space="preserve">         5-9</t>
  </si>
  <si>
    <t xml:space="preserve">        10-11</t>
  </si>
  <si>
    <t>Коэффициент повышения</t>
  </si>
  <si>
    <t xml:space="preserve">Доплата по обновленному содержанию образования 30% от ДО </t>
  </si>
  <si>
    <t>Доплата за работу с детьми особыми образовательными потребностями (ООП) 40% от БДО</t>
  </si>
  <si>
    <t xml:space="preserve">         1-4кл</t>
  </si>
  <si>
    <t xml:space="preserve">         5-9 кл</t>
  </si>
  <si>
    <t xml:space="preserve">        10-11кл</t>
  </si>
  <si>
    <t>мастер-50%</t>
  </si>
  <si>
    <t>исследователь-40%</t>
  </si>
  <si>
    <t>эксперт-35%</t>
  </si>
  <si>
    <t xml:space="preserve"> модератор-30%</t>
  </si>
  <si>
    <t>Доплата за квалификацию педагогического мастерства                ( мастер-50%, исследователь-40%,эксперт-35%, модератор-30%) от  ДО</t>
  </si>
  <si>
    <t>За ведение на английском языке предметов: физики, химии, биологии, информатики</t>
  </si>
  <si>
    <t>Повышение за работу в сельской местности 25%</t>
  </si>
  <si>
    <t>Всего доплат</t>
  </si>
  <si>
    <t>ИТОГО МЕСЯЧНЫЙ ФОТ</t>
  </si>
  <si>
    <t>Кол-во месяцев</t>
  </si>
  <si>
    <t>ИТОГО ГОДОВОЙ ФОТ</t>
  </si>
  <si>
    <t>тенге</t>
  </si>
  <si>
    <t>Методист по кадром РОО:</t>
  </si>
  <si>
    <t>МРП: 3063 тенге</t>
  </si>
  <si>
    <t>МЗП: 60000 тенге</t>
  </si>
  <si>
    <t xml:space="preserve">учителей  на 1 января 2022 года </t>
  </si>
  <si>
    <t>из них:                                                                                                                           в связи с освобождением учителей начальных классов от ведения уроков:</t>
  </si>
  <si>
    <t>Итого   с учетом повышения</t>
  </si>
  <si>
    <t xml:space="preserve">Всего ДО </t>
  </si>
  <si>
    <t>Подпись</t>
  </si>
  <si>
    <t>Доплата за особые условия труда  10% от ДО</t>
  </si>
  <si>
    <t>За ведение кабинета (в школах, школах-интернатах, в детских домах</t>
  </si>
  <si>
    <t>кабинеты и мастерские  - 20% от БДО</t>
  </si>
  <si>
    <t>Комбинированные мастерские 30% от БДО</t>
  </si>
  <si>
    <t>инвариантная часть</t>
  </si>
  <si>
    <t>категория</t>
  </si>
  <si>
    <t>б\к</t>
  </si>
  <si>
    <t>Нацаренус Мария Александровна</t>
  </si>
  <si>
    <t>учитель началных классов</t>
  </si>
  <si>
    <t>высшее. СКГУ, Омский государственный педагогический университет</t>
  </si>
  <si>
    <t>B22 - 16-20</t>
  </si>
  <si>
    <t>Шульга Евгений Викторович</t>
  </si>
  <si>
    <t>высшее. Академия "Кокше", 2013, ФК и спорт</t>
  </si>
  <si>
    <t>курс ОБИП</t>
  </si>
  <si>
    <t>Ахметов Берик Турсунбекович</t>
  </si>
  <si>
    <t>физическая культура</t>
  </si>
  <si>
    <t>педагог-модератор №150 от 12.07 2021</t>
  </si>
  <si>
    <t>Нацаренус Дмитрий Викторович</t>
  </si>
  <si>
    <t>Высшее. Академия "Кокше" 2012</t>
  </si>
  <si>
    <t>Химченко Наталья Владимировна</t>
  </si>
  <si>
    <t>Высшее Кокчетауский пед.инст</t>
  </si>
  <si>
    <t>начальные классы</t>
  </si>
  <si>
    <t>педагог-исследователь № 68 от 12.07.2021</t>
  </si>
  <si>
    <t>Ходаковская Виктория Юрьевна</t>
  </si>
  <si>
    <t>русский язык и литература</t>
  </si>
  <si>
    <t>Высшее Кокчетауский пед.инст, Омская гуманитарная академия</t>
  </si>
  <si>
    <t>педагог-модератор № 191 от 23.12.2020</t>
  </si>
  <si>
    <t>B23 - 16-20</t>
  </si>
  <si>
    <t xml:space="preserve">вакансия\русский язык и литература </t>
  </si>
  <si>
    <t>педагог-модератор № 191 от 23.12.2021</t>
  </si>
  <si>
    <t>география</t>
  </si>
  <si>
    <t xml:space="preserve">педагог-эксперт№ 197/а от 27.07.2020   </t>
  </si>
  <si>
    <t>Шиленкова Вера Ивановна</t>
  </si>
  <si>
    <t>математика</t>
  </si>
  <si>
    <t>высшее. Целиноградский пед.</t>
  </si>
  <si>
    <t>педагог  - эксперт № 197/а от 27.07.2020</t>
  </si>
  <si>
    <t>B22 - 3000</t>
  </si>
  <si>
    <t>Марченко Сергей Николаевич</t>
  </si>
  <si>
    <t>высшее Кокшетауский государственный университет им№ Ш.Уалиханова 2004</t>
  </si>
  <si>
    <t>физика</t>
  </si>
  <si>
    <t>В24-20-25</t>
  </si>
  <si>
    <t>художественный труд</t>
  </si>
  <si>
    <t>Тиржанова Акмарал Дауренбековна</t>
  </si>
  <si>
    <t>информатика</t>
  </si>
  <si>
    <t>высшее. Кокшетауский университет имени А. Мырзахметова.</t>
  </si>
  <si>
    <t>педагог-модератор №193 от 01.09.2021</t>
  </si>
  <si>
    <t>английский язык</t>
  </si>
  <si>
    <t>B24 - 05-07</t>
  </si>
  <si>
    <t>Абдрахманова Дана Каиргельдыевна</t>
  </si>
  <si>
    <t>высшее Кокшетауский унив. Им.Мырзахметова 2018</t>
  </si>
  <si>
    <t>педагог-модератор №75 от 24.12.2020</t>
  </si>
  <si>
    <t>Стихиляс Татьяна Владимировна</t>
  </si>
  <si>
    <t>высшее Кокшетауский унив. Им.Мырзахметова 2013</t>
  </si>
  <si>
    <t>педагог - исследователь № 170 от 31.12.2020</t>
  </si>
  <si>
    <t>B21 - 13-16</t>
  </si>
  <si>
    <t>Гептин Наталья Александровна</t>
  </si>
  <si>
    <t xml:space="preserve">высшее Омская гуманитарная академия 2017 </t>
  </si>
  <si>
    <t>педагог-модератор № 118 от 31.07.2020</t>
  </si>
  <si>
    <t>B23- 07-10</t>
  </si>
  <si>
    <t>вакансия/русский язык</t>
  </si>
  <si>
    <t>русский язык и литература \ надомное обучение</t>
  </si>
  <si>
    <t>высшее Омская гуманитарная академия 2018</t>
  </si>
  <si>
    <t>Черная Галина Григорьевна</t>
  </si>
  <si>
    <t>высшее  Кокшеиауский университет им. Ш.Уалиханова</t>
  </si>
  <si>
    <t>химия</t>
  </si>
  <si>
    <t>педагог-эксперт  № 264 от 14.07.2021</t>
  </si>
  <si>
    <t>B22 - 2500</t>
  </si>
  <si>
    <t>педагог-эксперт  № 264 от 14.07.2022</t>
  </si>
  <si>
    <t>биология</t>
  </si>
  <si>
    <t>мир вокруг</t>
  </si>
  <si>
    <t>педагог-эксперт  № 264 от 14.07.2023</t>
  </si>
  <si>
    <t>Ермаганбетова Гульзаш Салыкжановна</t>
  </si>
  <si>
    <t>казахский язык и литература</t>
  </si>
  <si>
    <t>высшее.Аркалыкский пед.</t>
  </si>
  <si>
    <t>педагог-эксперт № 197/а от 27.07.2020</t>
  </si>
  <si>
    <t>B22 - 20-25</t>
  </si>
  <si>
    <t>Груздева Кристина Владимировна</t>
  </si>
  <si>
    <t>высшее Кокшетауский унив. Им.Мырзахметова 2020</t>
  </si>
  <si>
    <t>история</t>
  </si>
  <si>
    <t>социально-бытовая ориентация</t>
  </si>
  <si>
    <t>магистратура Кокшетауский унив. Ш.Уалиханова,2016</t>
  </si>
  <si>
    <t>вторая №55 от 28.04.2018</t>
  </si>
  <si>
    <t>В23-05-07</t>
  </si>
  <si>
    <t>Каламыцева Надежда Алексеевна</t>
  </si>
  <si>
    <t>высшееЦентрально-азиатский университет.</t>
  </si>
  <si>
    <t>Агипа Тасхын</t>
  </si>
  <si>
    <t>высшее.Кокшетауский университет им. Ш. Уалиханова</t>
  </si>
  <si>
    <t>Гептина Галина Ивановна</t>
  </si>
  <si>
    <t>высшее.Кокшетауский ГУ</t>
  </si>
  <si>
    <t xml:space="preserve">первая  № 302/а от 06.04.2018 </t>
  </si>
  <si>
    <t>первая  № 302/а от 06.04.2019</t>
  </si>
  <si>
    <t>Момунова Виктория Сергеевна</t>
  </si>
  <si>
    <t>учитель (курсы переподготовки)</t>
  </si>
  <si>
    <t>воспитатель предшколы</t>
  </si>
  <si>
    <t>Ахметова Дана Турсунбековна</t>
  </si>
  <si>
    <t>Бакалавр педагогики и психологии</t>
  </si>
  <si>
    <t>вторая № 150 от 25.06.2019</t>
  </si>
  <si>
    <t>Шульга Татьяна Алексеевна</t>
  </si>
  <si>
    <t>начальные классы\надомное обучение</t>
  </si>
  <si>
    <t>В44 - 3000</t>
  </si>
  <si>
    <t>Мркоян Екатерина Петровна</t>
  </si>
  <si>
    <t xml:space="preserve">с/с Педагогический колледж г.Щучинск </t>
  </si>
  <si>
    <t>музыка</t>
  </si>
  <si>
    <t>В44  03-05</t>
  </si>
  <si>
    <t>педагог - эксперт№ 553 от 20.12.2021</t>
  </si>
  <si>
    <t>педагог-эксперт№ 553 от 20.12.2021</t>
  </si>
  <si>
    <t>Коммунальное государственное учреждение "Общеобразовательная школа села Вознесенка отдела образования по Буландынскому району управления образования Акмолинской области"</t>
  </si>
  <si>
    <t>УТВЕРЖДАЮ                                      Руководитель  КГУ "Общеобразовательная школа села Вознесенка"   Абдрахманов М.Е..        _____________</t>
  </si>
  <si>
    <t>СОГЛАСОВАНО                                  Руководитель ГУ "Отдел образования  по Буландынскому району управления образования Акмолинской области"                                Жолдыгулова А.А.       ________________</t>
  </si>
  <si>
    <t>СОГЛАСОВАНО                                    Руководитель ГУ "Отдел образования  по Буландынскому району управления образования Акмолинской области"                                Жолдыгулова А.А.     ________________</t>
  </si>
  <si>
    <t>В24-16-20</t>
  </si>
  <si>
    <t>B23 - 13-16</t>
  </si>
  <si>
    <t>б/к</t>
  </si>
  <si>
    <t>B24 - 13-16</t>
  </si>
  <si>
    <t>B21 -25-30</t>
  </si>
  <si>
    <t>В24 -20-25</t>
  </si>
  <si>
    <t>В23 16-20</t>
  </si>
  <si>
    <t>педагог-модератор №445 от 29.06.2022</t>
  </si>
  <si>
    <t>4</t>
  </si>
  <si>
    <t>психолог надомное</t>
  </si>
  <si>
    <t>Глобальная компетенция</t>
  </si>
  <si>
    <t>Вакансия</t>
  </si>
  <si>
    <t>НВТП</t>
  </si>
  <si>
    <t>педагог-эксперт       № 264 от 14.07.2021</t>
  </si>
  <si>
    <t>Высшее</t>
  </si>
  <si>
    <t>B22 -16-20</t>
  </si>
  <si>
    <t>УТВЕРЖДАЮ                         Годовой фонд заработной платы  _6643108_ тенге.             Руководитель  КГУ "Общеобразовательная школа села Вознесенка "   Абдрахманов М.Е.       _____________</t>
  </si>
  <si>
    <t>B22 - 25-30</t>
  </si>
  <si>
    <t>вакансия</t>
  </si>
  <si>
    <t xml:space="preserve">учителей  на 1 января 2023 года </t>
  </si>
  <si>
    <t>21.00.01</t>
  </si>
  <si>
    <t>18,05,15</t>
  </si>
  <si>
    <t>17.07.18</t>
  </si>
  <si>
    <t>14.07.14.</t>
  </si>
  <si>
    <t>15.09.29</t>
  </si>
  <si>
    <t>26.00.05.</t>
  </si>
  <si>
    <t>18.00.03.</t>
  </si>
  <si>
    <t>43.00.23</t>
  </si>
  <si>
    <t>23.08,10</t>
  </si>
  <si>
    <t>02.00.07.</t>
  </si>
  <si>
    <t>B23 - 02-03</t>
  </si>
  <si>
    <t>05.02,18</t>
  </si>
  <si>
    <t>B23 - 05-07</t>
  </si>
  <si>
    <t>14.09.19.</t>
  </si>
  <si>
    <t>09.10.18.</t>
  </si>
  <si>
    <t>32.00.13.</t>
  </si>
  <si>
    <t>25.08.25.</t>
  </si>
  <si>
    <t>06.10.15</t>
  </si>
  <si>
    <t>21.00.01.</t>
  </si>
  <si>
    <t>18.07.14</t>
  </si>
  <si>
    <t>18.00.08.</t>
  </si>
  <si>
    <t>07.00.01</t>
  </si>
  <si>
    <t>B44 - 07-10</t>
  </si>
  <si>
    <t>38.00.19.</t>
  </si>
  <si>
    <t>04.11.21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</si>
</sst>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\-#,##0.00;"/>
    <numFmt numFmtId="165" formatCode="#,##0.0;\-#,##0.0;"/>
    <numFmt numFmtId="166" formatCode="#,##0;\-#,##0;"/>
    <numFmt numFmtId="167" formatCode="#,###"/>
    <numFmt numFmtId="168" formatCode="0.0%"/>
    <numFmt numFmtId="169" formatCode="dd/mm/yy"/>
  </numFmts>
  <fonts count="19" x14ac:knownFonts="1">
    <font>
      <sz val="10"/>
      <name val="Times New Roman Cyr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sz val="8"/>
      <name val="Arial Cyr"/>
      <charset val="204"/>
    </font>
    <font>
      <sz val="8"/>
      <name val="Times New Roman Cyr"/>
      <charset val="204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7" fillId="0" borderId="0"/>
    <xf numFmtId="0" fontId="13" fillId="0" borderId="0"/>
  </cellStyleXfs>
  <cellXfs count="18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6" fillId="0" borderId="0" xfId="1" applyFont="1" applyAlignment="1" applyProtection="1">
      <alignment horizontal="left" vertical="top" wrapText="1"/>
      <protection locked="0"/>
    </xf>
    <xf numFmtId="0" fontId="1" fillId="0" borderId="0" xfId="0" applyFont="1" applyAlignment="1">
      <alignment horizontal="center" vertical="center"/>
    </xf>
    <xf numFmtId="0" fontId="8" fillId="0" borderId="0" xfId="1" applyFont="1" applyAlignment="1">
      <alignment wrapText="1"/>
    </xf>
    <xf numFmtId="0" fontId="8" fillId="0" borderId="15" xfId="1" applyFont="1" applyBorder="1" applyAlignment="1">
      <alignment wrapText="1"/>
    </xf>
    <xf numFmtId="0" fontId="1" fillId="0" borderId="15" xfId="0" applyFont="1" applyBorder="1"/>
    <xf numFmtId="0" fontId="17" fillId="0" borderId="0" xfId="1" applyAlignment="1">
      <alignment horizontal="left"/>
    </xf>
    <xf numFmtId="0" fontId="17" fillId="0" borderId="15" xfId="1" applyBorder="1"/>
    <xf numFmtId="165" fontId="1" fillId="0" borderId="0" xfId="0" applyNumberFormat="1" applyFont="1"/>
    <xf numFmtId="0" fontId="4" fillId="0" borderId="1" xfId="0" applyFont="1" applyBorder="1"/>
    <xf numFmtId="0" fontId="3" fillId="0" borderId="0" xfId="0" applyFont="1" applyAlignment="1">
      <alignment horizont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9" fontId="0" fillId="0" borderId="2" xfId="0" applyNumberFormat="1" applyBorder="1"/>
    <xf numFmtId="9" fontId="0" fillId="0" borderId="2" xfId="0" applyNumberFormat="1" applyBorder="1" applyAlignment="1">
      <alignment wrapText="1"/>
    </xf>
    <xf numFmtId="4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167" fontId="11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1" fontId="4" fillId="0" borderId="1" xfId="0" applyNumberFormat="1" applyFont="1" applyBorder="1" applyAlignment="1">
      <alignment horizontal="right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right"/>
    </xf>
    <xf numFmtId="0" fontId="17" fillId="0" borderId="0" xfId="1"/>
    <xf numFmtId="0" fontId="1" fillId="3" borderId="0" xfId="0" applyFont="1" applyFill="1"/>
    <xf numFmtId="2" fontId="9" fillId="0" borderId="1" xfId="0" applyNumberFormat="1" applyFont="1" applyBorder="1" applyAlignment="1">
      <alignment horizontal="left" wrapText="1"/>
    </xf>
    <xf numFmtId="1" fontId="9" fillId="0" borderId="1" xfId="0" applyNumberFormat="1" applyFont="1" applyBorder="1" applyAlignment="1">
      <alignment horizontal="left" wrapText="1"/>
    </xf>
    <xf numFmtId="1" fontId="2" fillId="2" borderId="1" xfId="0" applyNumberFormat="1" applyFont="1" applyFill="1" applyBorder="1"/>
    <xf numFmtId="1" fontId="2" fillId="0" borderId="1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right"/>
    </xf>
    <xf numFmtId="0" fontId="1" fillId="4" borderId="0" xfId="0" applyFont="1" applyFill="1"/>
    <xf numFmtId="0" fontId="4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right"/>
    </xf>
    <xf numFmtId="2" fontId="12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 applyProtection="1">
      <alignment horizontal="left" vertical="center" wrapText="1"/>
      <protection locked="0"/>
    </xf>
    <xf numFmtId="49" fontId="9" fillId="0" borderId="1" xfId="0" applyNumberFormat="1" applyFont="1" applyBorder="1" applyAlignment="1">
      <alignment horizontal="right" wrapText="1"/>
    </xf>
    <xf numFmtId="9" fontId="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/>
    </xf>
    <xf numFmtId="0" fontId="1" fillId="0" borderId="1" xfId="0" applyFont="1" applyBorder="1"/>
    <xf numFmtId="0" fontId="6" fillId="0" borderId="0" xfId="2" applyFont="1" applyAlignment="1" applyProtection="1">
      <alignment vertical="top" wrapText="1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4" xfId="0" applyFont="1" applyBorder="1"/>
    <xf numFmtId="0" fontId="1" fillId="0" borderId="3" xfId="0" applyFont="1" applyBorder="1"/>
    <xf numFmtId="0" fontId="1" fillId="0" borderId="14" xfId="0" applyFont="1" applyBorder="1"/>
    <xf numFmtId="0" fontId="1" fillId="0" borderId="5" xfId="0" applyFont="1" applyBorder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" fillId="0" borderId="13" xfId="0" applyFont="1" applyBorder="1"/>
    <xf numFmtId="0" fontId="1" fillId="0" borderId="6" xfId="0" applyFont="1" applyBorder="1"/>
    <xf numFmtId="0" fontId="1" fillId="0" borderId="2" xfId="0" applyFont="1" applyBorder="1"/>
    <xf numFmtId="0" fontId="3" fillId="0" borderId="11" xfId="0" applyFont="1" applyBorder="1"/>
    <xf numFmtId="0" fontId="4" fillId="0" borderId="1" xfId="0" applyFon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9" fontId="2" fillId="0" borderId="1" xfId="0" applyNumberFormat="1" applyFont="1" applyBorder="1" applyAlignment="1">
      <alignment horizontal="right"/>
    </xf>
    <xf numFmtId="9" fontId="4" fillId="0" borderId="1" xfId="0" applyNumberFormat="1" applyFont="1" applyBorder="1" applyAlignment="1">
      <alignment horizontal="right"/>
    </xf>
    <xf numFmtId="166" fontId="4" fillId="0" borderId="1" xfId="0" applyNumberFormat="1" applyFont="1" applyBorder="1" applyAlignment="1">
      <alignment horizontal="right"/>
    </xf>
    <xf numFmtId="165" fontId="4" fillId="0" borderId="1" xfId="0" applyNumberFormat="1" applyFont="1" applyBorder="1" applyAlignment="1">
      <alignment horizontal="right"/>
    </xf>
    <xf numFmtId="49" fontId="0" fillId="0" borderId="2" xfId="0" applyNumberFormat="1" applyBorder="1"/>
    <xf numFmtId="0" fontId="10" fillId="0" borderId="3" xfId="0" applyFont="1" applyBorder="1" applyAlignment="1">
      <alignment horizontal="center" vertical="center" wrapText="1"/>
    </xf>
    <xf numFmtId="0" fontId="12" fillId="0" borderId="17" xfId="3" applyFont="1" applyBorder="1" applyAlignment="1" applyProtection="1">
      <alignment horizontal="left" vertical="center" wrapText="1"/>
      <protection locked="0"/>
    </xf>
    <xf numFmtId="49" fontId="12" fillId="0" borderId="1" xfId="0" applyNumberFormat="1" applyFont="1" applyBorder="1" applyAlignment="1" applyProtection="1">
      <alignment horizontal="left" vertical="center" wrapText="1"/>
      <protection locked="0"/>
    </xf>
    <xf numFmtId="0" fontId="14" fillId="0" borderId="17" xfId="3" applyFont="1" applyBorder="1" applyAlignment="1">
      <alignment wrapText="1"/>
    </xf>
    <xf numFmtId="0" fontId="14" fillId="0" borderId="1" xfId="3" applyFont="1" applyBorder="1" applyAlignment="1">
      <alignment wrapText="1"/>
    </xf>
    <xf numFmtId="0" fontId="15" fillId="0" borderId="1" xfId="0" applyFont="1" applyBorder="1" applyAlignment="1">
      <alignment wrapText="1"/>
    </xf>
    <xf numFmtId="164" fontId="18" fillId="0" borderId="1" xfId="0" applyNumberFormat="1" applyFont="1" applyBorder="1" applyAlignment="1">
      <alignment horizontal="right"/>
    </xf>
    <xf numFmtId="166" fontId="18" fillId="0" borderId="1" xfId="0" applyNumberFormat="1" applyFont="1" applyBorder="1" applyAlignment="1">
      <alignment horizontal="right"/>
    </xf>
    <xf numFmtId="165" fontId="18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wrapText="1"/>
    </xf>
    <xf numFmtId="4" fontId="2" fillId="0" borderId="1" xfId="0" applyNumberFormat="1" applyFont="1" applyBorder="1"/>
    <xf numFmtId="3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5" fontId="2" fillId="0" borderId="1" xfId="0" applyNumberFormat="1" applyFont="1" applyBorder="1" applyAlignment="1">
      <alignment horizontal="right"/>
    </xf>
    <xf numFmtId="168" fontId="2" fillId="0" borderId="1" xfId="0" applyNumberFormat="1" applyFont="1" applyBorder="1" applyAlignment="1">
      <alignment horizontal="right"/>
    </xf>
    <xf numFmtId="0" fontId="12" fillId="4" borderId="1" xfId="3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166" fontId="4" fillId="5" borderId="1" xfId="0" applyNumberFormat="1" applyFont="1" applyFill="1" applyBorder="1" applyAlignment="1">
      <alignment horizontal="right"/>
    </xf>
    <xf numFmtId="10" fontId="4" fillId="5" borderId="1" xfId="0" applyNumberFormat="1" applyFont="1" applyFill="1" applyBorder="1" applyAlignment="1">
      <alignment horizontal="right"/>
    </xf>
    <xf numFmtId="169" fontId="12" fillId="6" borderId="1" xfId="0" applyNumberFormat="1" applyFont="1" applyFill="1" applyBorder="1" applyAlignment="1" applyProtection="1">
      <alignment horizontal="left" vertical="center" wrapText="1"/>
      <protection locked="0"/>
    </xf>
    <xf numFmtId="49" fontId="12" fillId="6" borderId="1" xfId="0" applyNumberFormat="1" applyFont="1" applyFill="1" applyBorder="1" applyAlignment="1" applyProtection="1">
      <alignment horizontal="left" vertical="center" wrapText="1"/>
      <protection locked="0"/>
    </xf>
    <xf numFmtId="14" fontId="12" fillId="6" borderId="1" xfId="0" applyNumberFormat="1" applyFont="1" applyFill="1" applyBorder="1" applyAlignment="1" applyProtection="1">
      <alignment horizontal="left" vertical="center" wrapText="1"/>
      <protection locked="0"/>
    </xf>
    <xf numFmtId="16" fontId="12" fillId="6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6" borderId="1" xfId="0" applyFont="1" applyFill="1" applyBorder="1" applyAlignment="1">
      <alignment horizontal="left" vertical="center" wrapText="1"/>
    </xf>
    <xf numFmtId="2" fontId="12" fillId="6" borderId="1" xfId="0" applyNumberFormat="1" applyFont="1" applyFill="1" applyBorder="1" applyAlignment="1">
      <alignment horizontal="left" vertical="center" wrapText="1"/>
    </xf>
    <xf numFmtId="14" fontId="12" fillId="7" borderId="1" xfId="0" applyNumberFormat="1" applyFont="1" applyFill="1" applyBorder="1" applyAlignment="1" applyProtection="1">
      <alignment horizontal="left" vertical="center" wrapText="1"/>
      <protection locked="0"/>
    </xf>
    <xf numFmtId="49" fontId="9" fillId="6" borderId="1" xfId="0" applyNumberFormat="1" applyFont="1" applyFill="1" applyBorder="1" applyAlignment="1">
      <alignment horizontal="right" wrapText="1"/>
    </xf>
    <xf numFmtId="0" fontId="12" fillId="7" borderId="1" xfId="0" applyFont="1" applyFill="1" applyBorder="1" applyAlignment="1">
      <alignment horizontal="left" vertical="center" wrapText="1"/>
    </xf>
    <xf numFmtId="2" fontId="12" fillId="7" borderId="1" xfId="0" applyNumberFormat="1" applyFont="1" applyFill="1" applyBorder="1" applyAlignment="1">
      <alignment horizontal="left" vertical="center" wrapText="1"/>
    </xf>
    <xf numFmtId="49" fontId="9" fillId="7" borderId="1" xfId="0" applyNumberFormat="1" applyFont="1" applyFill="1" applyBorder="1" applyAlignment="1">
      <alignment horizontal="right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9" fontId="0" fillId="0" borderId="24" xfId="0" applyNumberForma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18" xfId="0" applyFont="1" applyBorder="1" applyAlignment="1">
      <alignment horizontal="left" wrapText="1"/>
    </xf>
    <xf numFmtId="0" fontId="3" fillId="0" borderId="19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26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8" fillId="0" borderId="0" xfId="1" applyFont="1" applyAlignment="1">
      <alignment horizontal="left" wrapText="1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24" xfId="0" applyNumberFormat="1" applyBorder="1" applyAlignment="1">
      <alignment horizontal="center" wrapText="1"/>
    </xf>
    <xf numFmtId="9" fontId="0" fillId="0" borderId="5" xfId="0" applyNumberFormat="1" applyBorder="1" applyAlignment="1">
      <alignment horizont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wrapText="1"/>
    </xf>
    <xf numFmtId="0" fontId="1" fillId="0" borderId="21" xfId="0" applyFont="1" applyBorder="1" applyAlignment="1">
      <alignment horizontal="left" wrapText="1"/>
    </xf>
    <xf numFmtId="0" fontId="1" fillId="0" borderId="22" xfId="0" applyFont="1" applyBorder="1" applyAlignment="1">
      <alignment horizontal="left" wrapText="1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wrapText="1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0" fontId="6" fillId="0" borderId="0" xfId="2" applyFont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2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2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_Лист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BR75"/>
  <sheetViews>
    <sheetView tabSelected="1" showRuler="0" topLeftCell="A60" zoomScale="106" zoomScaleNormal="106" zoomScaleSheetLayoutView="100" workbookViewId="0">
      <selection activeCell="S64" sqref="S64"/>
    </sheetView>
  </sheetViews>
  <sheetFormatPr defaultColWidth="8.83203125" defaultRowHeight="12.75" x14ac:dyDescent="0.2"/>
  <cols>
    <col min="1" max="1" width="3.33203125" style="2" customWidth="1"/>
    <col min="2" max="2" width="23.33203125" style="1" customWidth="1"/>
    <col min="3" max="3" width="18.6640625" style="2" customWidth="1"/>
    <col min="4" max="4" width="19.1640625" style="2" customWidth="1"/>
    <col min="5" max="6" width="10.5" style="2" customWidth="1"/>
    <col min="7" max="7" width="17.33203125" style="2" customWidth="1"/>
    <col min="8" max="9" width="10" style="2" customWidth="1"/>
    <col min="10" max="10" width="11.5" style="2" customWidth="1"/>
    <col min="11" max="11" width="9.6640625" style="2" customWidth="1"/>
    <col min="12" max="12" width="11.83203125" style="1" customWidth="1"/>
    <col min="13" max="13" width="11.6640625" style="1" customWidth="1"/>
    <col min="14" max="14" width="11.33203125" style="1" customWidth="1"/>
    <col min="15" max="15" width="10" style="1" customWidth="1"/>
    <col min="16" max="17" width="11.1640625" style="1" customWidth="1"/>
    <col min="18" max="19" width="15.1640625" style="1" customWidth="1"/>
    <col min="20" max="20" width="7.5" style="1" customWidth="1"/>
    <col min="21" max="22" width="8" style="1" customWidth="1"/>
    <col min="23" max="23" width="11.33203125" style="1" customWidth="1"/>
    <col min="24" max="25" width="8.1640625" style="1" customWidth="1"/>
    <col min="26" max="26" width="11.5" style="1" customWidth="1"/>
    <col min="27" max="28" width="8" style="1" customWidth="1"/>
    <col min="29" max="29" width="13.6640625" style="2" customWidth="1"/>
    <col min="30" max="30" width="6.83203125" style="1" customWidth="1"/>
    <col min="31" max="31" width="12.1640625" style="1" customWidth="1"/>
    <col min="32" max="32" width="9.6640625" style="1" customWidth="1"/>
    <col min="33" max="33" width="12.1640625" style="1" customWidth="1"/>
    <col min="34" max="34" width="9.83203125" style="1" customWidth="1"/>
    <col min="35" max="35" width="11.33203125" style="1" customWidth="1"/>
    <col min="36" max="36" width="9.5" style="1" customWidth="1"/>
    <col min="37" max="37" width="16.5" style="1" customWidth="1"/>
    <col min="38" max="38" width="12.1640625" style="1" customWidth="1"/>
    <col min="39" max="39" width="11.83203125" style="1" customWidth="1"/>
    <col min="40" max="40" width="14" style="1" customWidth="1"/>
    <col min="41" max="41" width="14.5" style="1" customWidth="1"/>
    <col min="42" max="42" width="10.1640625" style="1" customWidth="1"/>
    <col min="43" max="43" width="10.83203125" style="1" customWidth="1"/>
    <col min="44" max="44" width="14.1640625" style="1" customWidth="1"/>
    <col min="45" max="47" width="16.6640625" style="1" customWidth="1"/>
    <col min="48" max="48" width="12.5" style="1" customWidth="1"/>
    <col min="49" max="16384" width="8.83203125" style="1"/>
  </cols>
  <sheetData>
    <row r="1" spans="2:69" ht="141.75" customHeight="1" thickBot="1" x14ac:dyDescent="0.25">
      <c r="B1" s="11"/>
      <c r="C1" s="166" t="s">
        <v>202</v>
      </c>
      <c r="D1" s="166"/>
      <c r="E1" s="166"/>
      <c r="F1" s="62"/>
      <c r="G1" s="62"/>
      <c r="H1" s="1"/>
      <c r="I1" s="152" t="s">
        <v>200</v>
      </c>
      <c r="J1" s="152"/>
      <c r="K1" s="152"/>
      <c r="M1" s="153" t="s">
        <v>0</v>
      </c>
      <c r="N1" s="154"/>
      <c r="O1" s="154"/>
      <c r="P1" s="154"/>
      <c r="Q1" s="154"/>
      <c r="R1" s="155"/>
      <c r="S1" s="63" t="s">
        <v>53</v>
      </c>
      <c r="T1" s="64" t="s">
        <v>54</v>
      </c>
      <c r="U1" s="65" t="s">
        <v>40</v>
      </c>
      <c r="V1" s="65" t="s">
        <v>41</v>
      </c>
      <c r="W1" s="66" t="s">
        <v>20</v>
      </c>
      <c r="AC1" s="1"/>
      <c r="AM1" s="2"/>
      <c r="BO1" s="2"/>
      <c r="BP1" s="2"/>
      <c r="BQ1" s="2"/>
    </row>
    <row r="2" spans="2:69" x14ac:dyDescent="0.2">
      <c r="B2"/>
      <c r="C2"/>
      <c r="D2"/>
      <c r="E2"/>
      <c r="F2"/>
      <c r="G2" s="1"/>
      <c r="H2" s="1"/>
      <c r="I2" s="1"/>
      <c r="J2" s="1"/>
      <c r="K2" s="1"/>
      <c r="M2" s="156" t="s">
        <v>23</v>
      </c>
      <c r="N2" s="157"/>
      <c r="O2" s="157"/>
      <c r="P2" s="157"/>
      <c r="Q2" s="157"/>
      <c r="R2" s="158"/>
      <c r="S2" s="67">
        <v>1</v>
      </c>
      <c r="T2" s="67">
        <v>4</v>
      </c>
      <c r="U2" s="68">
        <v>5</v>
      </c>
      <c r="V2" s="68">
        <v>2</v>
      </c>
      <c r="W2" s="69">
        <f t="shared" ref="W2:W24" si="0">SUM(T2:V2)</f>
        <v>11</v>
      </c>
      <c r="AC2" s="1"/>
      <c r="AM2" s="2"/>
      <c r="BO2" s="2"/>
      <c r="BP2" s="2"/>
      <c r="BQ2" s="2"/>
    </row>
    <row r="3" spans="2:69" x14ac:dyDescent="0.2">
      <c r="B3"/>
      <c r="C3"/>
      <c r="D3"/>
      <c r="E3"/>
      <c r="F3"/>
      <c r="G3" s="1"/>
      <c r="H3" s="1"/>
      <c r="I3" s="1"/>
      <c r="J3" s="1"/>
      <c r="K3" s="1"/>
      <c r="M3" s="131" t="s">
        <v>21</v>
      </c>
      <c r="N3" s="132"/>
      <c r="O3" s="132"/>
      <c r="P3" s="132"/>
      <c r="Q3" s="132"/>
      <c r="R3" s="133"/>
      <c r="S3" s="70">
        <v>1</v>
      </c>
      <c r="T3" s="70">
        <v>4</v>
      </c>
      <c r="U3" s="61">
        <v>5</v>
      </c>
      <c r="V3" s="61">
        <v>2</v>
      </c>
      <c r="W3" s="69">
        <f>SUM(T3:V3)</f>
        <v>11</v>
      </c>
      <c r="AC3" s="1"/>
      <c r="AM3" s="2"/>
      <c r="BO3" s="2"/>
      <c r="BP3" s="2"/>
      <c r="BQ3" s="2"/>
    </row>
    <row r="4" spans="2:69" x14ac:dyDescent="0.2">
      <c r="B4"/>
      <c r="C4"/>
      <c r="D4"/>
      <c r="E4"/>
      <c r="F4"/>
      <c r="G4" s="1"/>
      <c r="H4" s="1"/>
      <c r="I4" s="1"/>
      <c r="J4" s="1"/>
      <c r="K4" s="1"/>
      <c r="M4" s="131" t="s">
        <v>22</v>
      </c>
      <c r="N4" s="132"/>
      <c r="O4" s="132"/>
      <c r="P4" s="132"/>
      <c r="Q4" s="132"/>
      <c r="R4" s="133"/>
      <c r="S4" s="70">
        <v>10</v>
      </c>
      <c r="T4" s="70">
        <v>50</v>
      </c>
      <c r="U4" s="61">
        <v>85</v>
      </c>
      <c r="V4" s="61">
        <v>11</v>
      </c>
      <c r="W4" s="69">
        <f t="shared" si="0"/>
        <v>146</v>
      </c>
      <c r="AC4" s="1"/>
      <c r="AM4" s="2"/>
      <c r="BO4" s="2"/>
      <c r="BP4" s="2"/>
      <c r="BQ4" s="2"/>
    </row>
    <row r="5" spans="2:69" x14ac:dyDescent="0.2">
      <c r="B5"/>
      <c r="C5"/>
      <c r="D5"/>
      <c r="E5"/>
      <c r="F5"/>
      <c r="G5" s="1"/>
      <c r="H5" s="1"/>
      <c r="I5" s="1"/>
      <c r="J5" s="1"/>
      <c r="K5" s="1"/>
      <c r="M5" s="131" t="s">
        <v>24</v>
      </c>
      <c r="N5" s="132"/>
      <c r="O5" s="132"/>
      <c r="P5" s="132"/>
      <c r="Q5" s="132"/>
      <c r="R5" s="133"/>
      <c r="S5" s="70">
        <f>S6+S9+S14</f>
        <v>16</v>
      </c>
      <c r="T5" s="70">
        <f t="shared" ref="T5:V5" si="1">T6+T9+T14</f>
        <v>105.5</v>
      </c>
      <c r="U5" s="70">
        <f>U7+U8+U9</f>
        <v>170</v>
      </c>
      <c r="V5" s="70">
        <f t="shared" si="1"/>
        <v>66</v>
      </c>
      <c r="W5" s="69">
        <f t="shared" si="0"/>
        <v>341.5</v>
      </c>
      <c r="AC5" s="1"/>
      <c r="AM5" s="2"/>
      <c r="BO5" s="2"/>
      <c r="BP5" s="2"/>
      <c r="BQ5" s="2"/>
    </row>
    <row r="6" spans="2:69" x14ac:dyDescent="0.2">
      <c r="B6"/>
      <c r="C6"/>
      <c r="D6"/>
      <c r="E6"/>
      <c r="F6"/>
      <c r="G6" s="1"/>
      <c r="H6" s="1"/>
      <c r="I6" s="1"/>
      <c r="J6" s="1"/>
      <c r="K6" s="1"/>
      <c r="M6" s="131" t="s">
        <v>25</v>
      </c>
      <c r="N6" s="132"/>
      <c r="O6" s="132"/>
      <c r="P6" s="132"/>
      <c r="Q6" s="132"/>
      <c r="R6" s="133"/>
      <c r="S6" s="70">
        <f>S7+S8</f>
        <v>16</v>
      </c>
      <c r="T6" s="70">
        <v>97.5</v>
      </c>
      <c r="U6" s="70">
        <v>157</v>
      </c>
      <c r="V6" s="70">
        <v>66</v>
      </c>
      <c r="W6" s="69">
        <f t="shared" si="0"/>
        <v>320.5</v>
      </c>
      <c r="AC6" s="1"/>
      <c r="AM6" s="2"/>
      <c r="BO6" s="2"/>
      <c r="BP6" s="2"/>
      <c r="BQ6" s="2"/>
    </row>
    <row r="7" spans="2:69" x14ac:dyDescent="0.2">
      <c r="B7"/>
      <c r="C7"/>
      <c r="D7"/>
      <c r="E7"/>
      <c r="F7"/>
      <c r="G7" s="1"/>
      <c r="H7" s="1"/>
      <c r="I7" s="1"/>
      <c r="J7" s="1"/>
      <c r="K7" s="1"/>
      <c r="M7" s="168" t="s">
        <v>97</v>
      </c>
      <c r="N7" s="169"/>
      <c r="O7" s="169"/>
      <c r="P7" s="169"/>
      <c r="Q7" s="169"/>
      <c r="R7" s="170"/>
      <c r="S7" s="70">
        <v>16</v>
      </c>
      <c r="T7" s="70">
        <v>97.5</v>
      </c>
      <c r="U7" s="61">
        <v>157</v>
      </c>
      <c r="V7" s="61">
        <v>54</v>
      </c>
      <c r="W7" s="69">
        <f t="shared" si="0"/>
        <v>308.5</v>
      </c>
      <c r="AC7" s="1"/>
      <c r="AM7" s="2"/>
      <c r="BO7" s="2"/>
      <c r="BP7" s="2"/>
      <c r="BQ7" s="2"/>
    </row>
    <row r="8" spans="2:69" x14ac:dyDescent="0.2">
      <c r="B8"/>
      <c r="C8"/>
      <c r="D8"/>
      <c r="E8"/>
      <c r="F8"/>
      <c r="G8" s="1"/>
      <c r="H8" s="1"/>
      <c r="I8" s="1"/>
      <c r="J8" s="1"/>
      <c r="K8" s="1"/>
      <c r="M8" s="168" t="s">
        <v>26</v>
      </c>
      <c r="N8" s="169"/>
      <c r="O8" s="169"/>
      <c r="P8" s="169"/>
      <c r="Q8" s="169"/>
      <c r="R8" s="170"/>
      <c r="S8" s="70">
        <v>0</v>
      </c>
      <c r="T8" s="70">
        <v>0</v>
      </c>
      <c r="U8" s="61">
        <v>3</v>
      </c>
      <c r="V8" s="61">
        <v>12</v>
      </c>
      <c r="W8" s="69">
        <f t="shared" si="0"/>
        <v>15</v>
      </c>
      <c r="AC8" s="1"/>
      <c r="AM8" s="2"/>
      <c r="BO8" s="2"/>
      <c r="BP8" s="2"/>
      <c r="BQ8" s="2"/>
    </row>
    <row r="9" spans="2:69" x14ac:dyDescent="0.2">
      <c r="B9"/>
      <c r="C9"/>
      <c r="D9"/>
      <c r="E9"/>
      <c r="F9"/>
      <c r="G9" s="1"/>
      <c r="H9" s="1"/>
      <c r="I9" s="1"/>
      <c r="J9" s="1"/>
      <c r="K9" s="1"/>
      <c r="M9" s="131" t="s">
        <v>27</v>
      </c>
      <c r="N9" s="132"/>
      <c r="O9" s="132"/>
      <c r="P9" s="132"/>
      <c r="Q9" s="132"/>
      <c r="R9" s="133"/>
      <c r="S9" s="70">
        <f>SUM(S10:S24)</f>
        <v>0</v>
      </c>
      <c r="T9" s="70">
        <f>SUM(T10:T13)</f>
        <v>8</v>
      </c>
      <c r="U9" s="70">
        <f>SUM(U10:U13)</f>
        <v>10</v>
      </c>
      <c r="V9" s="70">
        <f>SUM(V10:V13)</f>
        <v>0</v>
      </c>
      <c r="W9" s="69">
        <f t="shared" si="0"/>
        <v>18</v>
      </c>
      <c r="AC9" s="1"/>
      <c r="AM9" s="2"/>
      <c r="BO9" s="2"/>
      <c r="BP9" s="2"/>
      <c r="BQ9" s="2"/>
    </row>
    <row r="10" spans="2:69" ht="26.25" customHeight="1" x14ac:dyDescent="0.2">
      <c r="B10"/>
      <c r="C10"/>
      <c r="D10"/>
      <c r="E10"/>
      <c r="F10"/>
      <c r="G10" s="1"/>
      <c r="H10" s="1"/>
      <c r="I10" s="1"/>
      <c r="J10" s="1"/>
      <c r="K10" s="1"/>
      <c r="M10" s="131" t="s">
        <v>89</v>
      </c>
      <c r="N10" s="132"/>
      <c r="O10" s="132"/>
      <c r="P10" s="132"/>
      <c r="Q10" s="132"/>
      <c r="R10" s="133"/>
      <c r="S10" s="70"/>
      <c r="T10" s="70"/>
      <c r="U10" s="61"/>
      <c r="V10" s="61"/>
      <c r="W10" s="69">
        <f t="shared" si="0"/>
        <v>0</v>
      </c>
      <c r="AC10" s="1"/>
      <c r="AM10" s="2"/>
      <c r="BO10" s="2"/>
      <c r="BP10" s="2"/>
      <c r="BQ10" s="2"/>
    </row>
    <row r="11" spans="2:69" ht="18" customHeight="1" x14ac:dyDescent="0.2">
      <c r="B11"/>
      <c r="C11"/>
      <c r="D11"/>
      <c r="E11"/>
      <c r="F11"/>
      <c r="G11" s="1"/>
      <c r="H11" s="1"/>
      <c r="I11" s="1"/>
      <c r="J11" s="1"/>
      <c r="K11" s="1"/>
      <c r="M11" s="131" t="s">
        <v>28</v>
      </c>
      <c r="N11" s="132"/>
      <c r="O11" s="132"/>
      <c r="P11" s="132"/>
      <c r="Q11" s="132"/>
      <c r="R11" s="133"/>
      <c r="S11" s="70"/>
      <c r="T11" s="70">
        <v>8</v>
      </c>
      <c r="U11" s="61">
        <v>10</v>
      </c>
      <c r="V11" s="61"/>
      <c r="W11" s="69">
        <f t="shared" si="0"/>
        <v>18</v>
      </c>
      <c r="AC11" s="1"/>
      <c r="AM11" s="2"/>
      <c r="BO11" s="2"/>
      <c r="BP11" s="2"/>
      <c r="BQ11" s="2"/>
    </row>
    <row r="12" spans="2:69" x14ac:dyDescent="0.2">
      <c r="B12"/>
      <c r="C12"/>
      <c r="D12"/>
      <c r="E12"/>
      <c r="F12"/>
      <c r="G12" s="1"/>
      <c r="H12" s="1"/>
      <c r="I12" s="1"/>
      <c r="J12" s="1"/>
      <c r="K12" s="1"/>
      <c r="M12" s="131" t="s">
        <v>29</v>
      </c>
      <c r="N12" s="132"/>
      <c r="O12" s="132"/>
      <c r="P12" s="132"/>
      <c r="Q12" s="132"/>
      <c r="R12" s="133"/>
      <c r="S12" s="70"/>
      <c r="T12" s="70"/>
      <c r="U12" s="61"/>
      <c r="V12" s="61"/>
      <c r="W12" s="69">
        <f t="shared" si="0"/>
        <v>0</v>
      </c>
      <c r="AC12" s="1"/>
      <c r="AM12" s="2"/>
      <c r="BO12" s="2"/>
      <c r="BP12" s="2"/>
      <c r="BQ12" s="2"/>
    </row>
    <row r="13" spans="2:69" ht="14.25" x14ac:dyDescent="0.2">
      <c r="B13"/>
      <c r="C13"/>
      <c r="D13" s="71" t="s">
        <v>3</v>
      </c>
      <c r="E13"/>
      <c r="F13"/>
      <c r="G13" s="1"/>
      <c r="H13" s="1"/>
      <c r="I13" s="1"/>
      <c r="J13" s="1"/>
      <c r="K13" s="1"/>
      <c r="M13" s="131" t="s">
        <v>30</v>
      </c>
      <c r="N13" s="132"/>
      <c r="O13" s="132"/>
      <c r="P13" s="132"/>
      <c r="Q13" s="132"/>
      <c r="R13" s="133"/>
      <c r="S13" s="70"/>
      <c r="T13" s="70"/>
      <c r="U13" s="61"/>
      <c r="V13" s="61"/>
      <c r="W13" s="69">
        <f t="shared" si="0"/>
        <v>0</v>
      </c>
      <c r="AC13" s="1"/>
      <c r="AM13" s="2"/>
      <c r="BO13" s="2"/>
      <c r="BP13" s="2"/>
      <c r="BQ13" s="2"/>
    </row>
    <row r="14" spans="2:69" ht="26.25" customHeight="1" x14ac:dyDescent="0.25">
      <c r="B14"/>
      <c r="C14"/>
      <c r="D14" s="72" t="s">
        <v>222</v>
      </c>
      <c r="E14"/>
      <c r="F14"/>
      <c r="G14" s="1"/>
      <c r="H14" s="1"/>
      <c r="I14" s="1"/>
      <c r="J14" s="1"/>
      <c r="K14" s="1"/>
      <c r="M14" s="131" t="s">
        <v>31</v>
      </c>
      <c r="N14" s="132"/>
      <c r="O14" s="132"/>
      <c r="P14" s="132"/>
      <c r="Q14" s="132"/>
      <c r="R14" s="133"/>
      <c r="S14" s="70">
        <f>SUM(S15:S24)</f>
        <v>0</v>
      </c>
      <c r="T14" s="70">
        <f>SUM(T15:T24)</f>
        <v>0</v>
      </c>
      <c r="U14" s="70">
        <v>0</v>
      </c>
      <c r="V14" s="73">
        <f>SUM(V15:V24)</f>
        <v>0</v>
      </c>
      <c r="W14" s="69">
        <f t="shared" si="0"/>
        <v>0</v>
      </c>
      <c r="AC14" s="1"/>
      <c r="AM14" s="2"/>
      <c r="BO14" s="2"/>
      <c r="BP14" s="2"/>
      <c r="BQ14" s="2"/>
    </row>
    <row r="15" spans="2:69" ht="14.25" customHeight="1" x14ac:dyDescent="0.2">
      <c r="B15"/>
      <c r="C15"/>
      <c r="D15"/>
      <c r="E15"/>
      <c r="F15"/>
      <c r="G15" s="1"/>
      <c r="H15" s="1"/>
      <c r="I15" s="1"/>
      <c r="J15" s="1"/>
      <c r="K15" s="1"/>
      <c r="M15" s="131" t="s">
        <v>32</v>
      </c>
      <c r="N15" s="132"/>
      <c r="O15" s="132"/>
      <c r="P15" s="132"/>
      <c r="Q15" s="132"/>
      <c r="R15" s="133"/>
      <c r="S15" s="70"/>
      <c r="T15" s="70"/>
      <c r="U15" s="61"/>
      <c r="V15" s="61"/>
      <c r="W15" s="69">
        <f t="shared" si="0"/>
        <v>0</v>
      </c>
      <c r="AC15" s="1"/>
      <c r="AM15" s="2"/>
      <c r="BO15" s="2"/>
      <c r="BP15" s="2"/>
      <c r="BQ15" s="2"/>
    </row>
    <row r="16" spans="2:69" x14ac:dyDescent="0.2">
      <c r="B16"/>
      <c r="C16" s="167" t="s">
        <v>199</v>
      </c>
      <c r="D16" s="167"/>
      <c r="E16" s="167"/>
      <c r="F16" s="167"/>
      <c r="G16" s="167"/>
      <c r="H16" s="167"/>
      <c r="I16" s="1"/>
      <c r="J16" s="1"/>
      <c r="K16" s="1"/>
      <c r="M16" s="131" t="s">
        <v>33</v>
      </c>
      <c r="N16" s="132"/>
      <c r="O16" s="132"/>
      <c r="P16" s="132"/>
      <c r="Q16" s="132"/>
      <c r="R16" s="133"/>
      <c r="S16" s="70"/>
      <c r="T16" s="70"/>
      <c r="U16" s="61">
        <v>7</v>
      </c>
      <c r="V16" s="61"/>
      <c r="W16" s="69">
        <f t="shared" si="0"/>
        <v>7</v>
      </c>
      <c r="AC16" s="1"/>
      <c r="AM16" s="2"/>
      <c r="BO16" s="2"/>
      <c r="BP16" s="2"/>
      <c r="BQ16" s="2"/>
    </row>
    <row r="17" spans="1:70" x14ac:dyDescent="0.2">
      <c r="A17"/>
      <c r="B17"/>
      <c r="C17" s="167"/>
      <c r="D17" s="167"/>
      <c r="E17" s="167"/>
      <c r="F17" s="167"/>
      <c r="G17" s="167"/>
      <c r="H17" s="167"/>
      <c r="I17" s="1"/>
      <c r="J17" s="1"/>
      <c r="K17" s="1"/>
      <c r="M17" s="131" t="s">
        <v>34</v>
      </c>
      <c r="N17" s="132"/>
      <c r="O17" s="132"/>
      <c r="P17" s="132"/>
      <c r="Q17" s="132"/>
      <c r="R17" s="133"/>
      <c r="S17" s="70"/>
      <c r="T17" s="70"/>
      <c r="U17" s="61"/>
      <c r="V17" s="61"/>
      <c r="W17" s="69">
        <f t="shared" si="0"/>
        <v>0</v>
      </c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 ht="19.5" customHeight="1" x14ac:dyDescent="0.2">
      <c r="A18"/>
      <c r="B18"/>
      <c r="C18" s="167"/>
      <c r="D18" s="167"/>
      <c r="E18" s="167"/>
      <c r="F18" s="167"/>
      <c r="G18" s="167"/>
      <c r="H18" s="167"/>
      <c r="I18" s="1"/>
      <c r="J18" s="1"/>
      <c r="K18" s="1"/>
      <c r="M18" s="131" t="s">
        <v>35</v>
      </c>
      <c r="N18" s="132"/>
      <c r="O18" s="132"/>
      <c r="P18" s="132"/>
      <c r="Q18" s="132"/>
      <c r="R18" s="133"/>
      <c r="S18" s="70"/>
      <c r="T18" s="70"/>
      <c r="U18" s="61"/>
      <c r="V18" s="61"/>
      <c r="W18" s="69">
        <f t="shared" si="0"/>
        <v>0</v>
      </c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 x14ac:dyDescent="0.2">
      <c r="A19"/>
      <c r="B19"/>
      <c r="C19"/>
      <c r="D19"/>
      <c r="E19"/>
      <c r="F19"/>
      <c r="G19" s="1"/>
      <c r="H19" s="1"/>
      <c r="I19" s="1"/>
      <c r="J19" s="1"/>
      <c r="K19" s="1"/>
      <c r="M19" s="131" t="s">
        <v>28</v>
      </c>
      <c r="N19" s="132"/>
      <c r="O19" s="132"/>
      <c r="P19" s="132"/>
      <c r="Q19" s="132"/>
      <c r="R19" s="133"/>
      <c r="S19" s="70"/>
      <c r="T19" s="70"/>
      <c r="U19" s="61"/>
      <c r="V19" s="61"/>
      <c r="W19" s="69">
        <f t="shared" si="0"/>
        <v>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 x14ac:dyDescent="0.2">
      <c r="A20"/>
      <c r="B20"/>
      <c r="C20" s="9"/>
      <c r="D20"/>
      <c r="E20"/>
      <c r="F20"/>
      <c r="G20" s="1"/>
      <c r="H20" s="1"/>
      <c r="I20" s="1"/>
      <c r="J20" s="1"/>
      <c r="K20" s="1"/>
      <c r="M20" s="131" t="s">
        <v>36</v>
      </c>
      <c r="N20" s="132"/>
      <c r="O20" s="132"/>
      <c r="P20" s="132"/>
      <c r="Q20" s="132"/>
      <c r="R20" s="133"/>
      <c r="S20" s="70"/>
      <c r="T20" s="70"/>
      <c r="U20" s="61"/>
      <c r="V20" s="61"/>
      <c r="W20" s="69">
        <f t="shared" si="0"/>
        <v>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 x14ac:dyDescent="0.2">
      <c r="A21"/>
      <c r="B21"/>
      <c r="C21" s="9"/>
      <c r="D21"/>
      <c r="E21"/>
      <c r="F21"/>
      <c r="G21" s="1"/>
      <c r="H21" s="1"/>
      <c r="I21" s="1"/>
      <c r="J21" s="1"/>
      <c r="K21" s="1"/>
      <c r="M21" s="131" t="s">
        <v>37</v>
      </c>
      <c r="N21" s="132"/>
      <c r="O21" s="132"/>
      <c r="P21" s="132"/>
      <c r="Q21" s="132"/>
      <c r="R21" s="133"/>
      <c r="S21" s="70"/>
      <c r="T21" s="70"/>
      <c r="U21" s="61"/>
      <c r="V21" s="61"/>
      <c r="W21" s="69">
        <f t="shared" si="0"/>
        <v>0</v>
      </c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 x14ac:dyDescent="0.2">
      <c r="A22"/>
      <c r="B22"/>
      <c r="C22"/>
      <c r="D22"/>
      <c r="E22"/>
      <c r="F22"/>
      <c r="G22" s="1"/>
      <c r="H22" s="1"/>
      <c r="I22" s="1"/>
      <c r="J22" s="1"/>
      <c r="K22" s="1"/>
      <c r="M22" s="131" t="s">
        <v>38</v>
      </c>
      <c r="N22" s="132"/>
      <c r="O22" s="132"/>
      <c r="P22" s="132"/>
      <c r="Q22" s="132"/>
      <c r="R22" s="133"/>
      <c r="S22" s="70"/>
      <c r="T22" s="70"/>
      <c r="U22" s="61"/>
      <c r="V22" s="61"/>
      <c r="W22" s="69">
        <f t="shared" si="0"/>
        <v>0</v>
      </c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</row>
    <row r="23" spans="1:70" x14ac:dyDescent="0.2">
      <c r="A23"/>
      <c r="B23"/>
      <c r="C23"/>
      <c r="D23"/>
      <c r="E23"/>
      <c r="F23"/>
      <c r="G23" s="1"/>
      <c r="H23" s="1"/>
      <c r="I23" s="1"/>
      <c r="J23" s="1"/>
      <c r="K23" s="1"/>
      <c r="M23" s="131" t="s">
        <v>39</v>
      </c>
      <c r="N23" s="132"/>
      <c r="O23" s="132"/>
      <c r="P23" s="132"/>
      <c r="Q23" s="132"/>
      <c r="R23" s="133"/>
      <c r="S23" s="70"/>
      <c r="T23" s="74"/>
      <c r="U23" s="75"/>
      <c r="V23" s="75"/>
      <c r="W23" s="69">
        <f t="shared" si="0"/>
        <v>0</v>
      </c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</row>
    <row r="24" spans="1:70" ht="13.5" thickBot="1" x14ac:dyDescent="0.25">
      <c r="A24"/>
      <c r="B24"/>
      <c r="C24"/>
      <c r="D24"/>
      <c r="E24"/>
      <c r="F24"/>
      <c r="G24" s="1"/>
      <c r="H24" s="1"/>
      <c r="I24" s="1"/>
      <c r="J24" s="1"/>
      <c r="K24" s="1"/>
      <c r="M24" s="137" t="s">
        <v>55</v>
      </c>
      <c r="N24" s="138"/>
      <c r="O24" s="138"/>
      <c r="P24" s="138"/>
      <c r="Q24" s="138"/>
      <c r="R24" s="139"/>
      <c r="S24" s="74"/>
      <c r="T24" s="74"/>
      <c r="U24" s="75"/>
      <c r="V24" s="75"/>
      <c r="W24" s="69">
        <f t="shared" si="0"/>
        <v>0</v>
      </c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</row>
    <row r="25" spans="1:70" ht="13.5" thickBot="1" x14ac:dyDescent="0.25">
      <c r="A25"/>
      <c r="B25"/>
      <c r="C25"/>
      <c r="D25"/>
      <c r="E25"/>
      <c r="F25"/>
      <c r="G25" s="1"/>
      <c r="H25" s="1"/>
      <c r="I25" s="1"/>
      <c r="J25" s="1"/>
      <c r="K25" s="1"/>
      <c r="M25" s="134" t="s">
        <v>2</v>
      </c>
      <c r="N25" s="135"/>
      <c r="O25" s="135"/>
      <c r="P25" s="135"/>
      <c r="Q25" s="135"/>
      <c r="R25" s="136"/>
      <c r="S25" s="76">
        <f>S6+S9+S14</f>
        <v>16</v>
      </c>
      <c r="T25" s="76">
        <f>T6+T9+T14</f>
        <v>105.5</v>
      </c>
      <c r="U25" s="76">
        <f>U6+U9+U14+U16+U8</f>
        <v>177</v>
      </c>
      <c r="V25" s="76">
        <f>V6+V9+V14</f>
        <v>66</v>
      </c>
      <c r="W25" s="76">
        <f>SUM(T25:V25)</f>
        <v>348.5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 x14ac:dyDescent="0.2">
      <c r="C26" s="1"/>
      <c r="L26" s="2"/>
      <c r="AC26" s="1"/>
      <c r="AM26" s="2"/>
      <c r="BO26" s="2"/>
      <c r="BP26" s="2"/>
      <c r="BQ26" s="2"/>
    </row>
    <row r="27" spans="1:70" x14ac:dyDescent="0.2">
      <c r="A27" s="5"/>
      <c r="B27" s="3" t="s">
        <v>52</v>
      </c>
      <c r="C27" s="3"/>
      <c r="D27" s="3" t="s">
        <v>86</v>
      </c>
      <c r="E27" s="1"/>
      <c r="F27" s="1"/>
      <c r="G27" s="5"/>
      <c r="H27" s="3" t="s">
        <v>87</v>
      </c>
      <c r="I27" s="5"/>
      <c r="J27" s="5"/>
      <c r="K27" s="5"/>
      <c r="L27" s="3"/>
      <c r="M27" s="3"/>
      <c r="N27" s="3"/>
      <c r="O27" s="3"/>
      <c r="P27" s="3"/>
      <c r="Q27" s="3"/>
      <c r="R27" s="3"/>
      <c r="S27" s="3"/>
      <c r="T27"/>
      <c r="U27" s="10"/>
      <c r="V27" s="10"/>
      <c r="W27" s="10"/>
      <c r="AA27" s="3"/>
      <c r="AB27" s="3"/>
      <c r="AC27" s="6"/>
      <c r="AD27" s="6"/>
      <c r="AE27" s="6"/>
      <c r="AF27" s="6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5"/>
      <c r="BO27" s="5"/>
      <c r="BP27" s="5"/>
      <c r="BQ27"/>
      <c r="BR27"/>
    </row>
    <row r="28" spans="1:70" x14ac:dyDescent="0.2">
      <c r="A28" s="5"/>
      <c r="B28" s="3"/>
      <c r="C28" s="3"/>
      <c r="D28" s="8"/>
      <c r="E28" s="8"/>
      <c r="F28" s="8"/>
      <c r="G28" s="8"/>
      <c r="H28" s="5"/>
      <c r="I28" s="5"/>
      <c r="J28" s="5"/>
      <c r="K28" s="5"/>
      <c r="L28" s="5"/>
      <c r="M28" s="3"/>
      <c r="N28" s="3"/>
      <c r="O28" s="3"/>
      <c r="P28" s="3"/>
      <c r="Q28" s="3"/>
      <c r="R28" s="3"/>
      <c r="S28" s="3"/>
      <c r="T28" s="3"/>
      <c r="U28"/>
      <c r="V28" s="3"/>
      <c r="W28" s="3"/>
      <c r="AA28" s="3"/>
      <c r="AB28" s="3"/>
      <c r="AC28" s="3"/>
      <c r="AD28" s="6"/>
      <c r="AE28" s="6"/>
      <c r="AF28" s="6"/>
      <c r="AG28" s="6"/>
      <c r="AH28"/>
      <c r="AI28"/>
      <c r="AJ28" s="7"/>
      <c r="AK28" s="7"/>
      <c r="AL28" s="7"/>
      <c r="AM28" s="7"/>
      <c r="AN28" s="7"/>
      <c r="AO28" s="7"/>
      <c r="AP28" s="7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5"/>
      <c r="BP28" s="5"/>
      <c r="BQ28" s="5"/>
      <c r="BR28"/>
    </row>
    <row r="29" spans="1:70" ht="55.9" hidden="1" customHeight="1" thickBot="1" x14ac:dyDescent="0.25">
      <c r="A29" s="5"/>
      <c r="B29" s="3"/>
      <c r="C29" s="5"/>
      <c r="D29" s="5"/>
      <c r="E29" s="5"/>
      <c r="F29" s="5"/>
      <c r="G29" s="5"/>
      <c r="H29" s="5"/>
      <c r="I29" s="5"/>
      <c r="J29" s="5"/>
      <c r="K29" s="5"/>
      <c r="L29" s="3"/>
      <c r="M29" s="3"/>
      <c r="N29" s="3"/>
      <c r="O29" s="3"/>
      <c r="P29" s="3"/>
      <c r="R29" s="2" t="s">
        <v>46</v>
      </c>
      <c r="S29" s="2" t="s">
        <v>48</v>
      </c>
      <c r="T29" s="165"/>
      <c r="U29" s="165"/>
      <c r="V29" s="165"/>
      <c r="W29" s="165"/>
      <c r="X29" s="165"/>
      <c r="Y29" s="165"/>
      <c r="Z29" s="165"/>
      <c r="AA29" s="165"/>
      <c r="AB29" s="165"/>
      <c r="AC29" s="165"/>
      <c r="AD29" s="163" t="s">
        <v>50</v>
      </c>
      <c r="AE29" s="163"/>
      <c r="AF29" s="163"/>
      <c r="AG29" s="163"/>
      <c r="AH29" s="163"/>
      <c r="AI29" s="163"/>
      <c r="AJ29" s="164" t="s">
        <v>47</v>
      </c>
      <c r="AK29" s="164"/>
      <c r="AL29" s="163" t="s">
        <v>49</v>
      </c>
      <c r="AM29" s="163"/>
      <c r="AN29" s="20"/>
      <c r="AO29" s="20"/>
      <c r="AP29" s="20"/>
      <c r="AQ29" s="3"/>
      <c r="AR29" s="5"/>
      <c r="AS29" s="5"/>
      <c r="AT29" s="5"/>
      <c r="AU29" s="5"/>
    </row>
    <row r="30" spans="1:70" s="12" customFormat="1" ht="63.75" customHeight="1" x14ac:dyDescent="0.2">
      <c r="A30" s="119" t="s">
        <v>4</v>
      </c>
      <c r="B30" s="119" t="s">
        <v>5</v>
      </c>
      <c r="C30" s="119" t="s">
        <v>42</v>
      </c>
      <c r="D30" s="114" t="s">
        <v>6</v>
      </c>
      <c r="E30" s="114" t="s">
        <v>17</v>
      </c>
      <c r="F30" s="114" t="s">
        <v>98</v>
      </c>
      <c r="G30" s="114" t="s">
        <v>7</v>
      </c>
      <c r="H30" s="114" t="s">
        <v>18</v>
      </c>
      <c r="I30" s="114" t="s">
        <v>67</v>
      </c>
      <c r="J30" s="114" t="s">
        <v>8</v>
      </c>
      <c r="K30" s="114" t="s">
        <v>19</v>
      </c>
      <c r="L30" s="122" t="s">
        <v>61</v>
      </c>
      <c r="M30" s="123"/>
      <c r="N30" s="123"/>
      <c r="O30" s="124"/>
      <c r="P30" s="125" t="s">
        <v>79</v>
      </c>
      <c r="Q30" s="128" t="s">
        <v>9</v>
      </c>
      <c r="R30" s="119" t="s">
        <v>68</v>
      </c>
      <c r="S30" s="119" t="s">
        <v>69</v>
      </c>
      <c r="T30" s="144" t="s">
        <v>62</v>
      </c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6"/>
      <c r="AF30" s="141" t="s">
        <v>63</v>
      </c>
      <c r="AG30" s="142"/>
      <c r="AH30" s="142"/>
      <c r="AI30" s="142"/>
      <c r="AJ30" s="142"/>
      <c r="AK30" s="143"/>
      <c r="AL30" s="149" t="s">
        <v>77</v>
      </c>
      <c r="AM30" s="150"/>
      <c r="AN30" s="150"/>
      <c r="AO30" s="151"/>
      <c r="AP30" s="119" t="s">
        <v>51</v>
      </c>
      <c r="AQ30" s="119" t="s">
        <v>43</v>
      </c>
      <c r="AR30" s="119" t="s">
        <v>45</v>
      </c>
      <c r="AS30" s="119" t="s">
        <v>78</v>
      </c>
      <c r="AT30" s="162" t="s">
        <v>94</v>
      </c>
      <c r="AU30" s="162"/>
      <c r="AV30" s="159" t="s">
        <v>92</v>
      </c>
    </row>
    <row r="31" spans="1:70" s="12" customFormat="1" ht="36.75" customHeight="1" x14ac:dyDescent="0.2">
      <c r="A31" s="120"/>
      <c r="B31" s="120"/>
      <c r="C31" s="120"/>
      <c r="D31" s="115"/>
      <c r="E31" s="115"/>
      <c r="F31" s="115"/>
      <c r="G31" s="115"/>
      <c r="H31" s="115"/>
      <c r="I31" s="115"/>
      <c r="J31" s="115"/>
      <c r="K31" s="115"/>
      <c r="L31" s="122" t="s">
        <v>10</v>
      </c>
      <c r="M31" s="123"/>
      <c r="N31" s="123"/>
      <c r="O31" s="124"/>
      <c r="P31" s="126"/>
      <c r="Q31" s="129"/>
      <c r="R31" s="120"/>
      <c r="S31" s="120"/>
      <c r="T31" s="144" t="s">
        <v>64</v>
      </c>
      <c r="U31" s="145"/>
      <c r="V31" s="145"/>
      <c r="W31" s="146"/>
      <c r="X31" s="144" t="s">
        <v>65</v>
      </c>
      <c r="Y31" s="145"/>
      <c r="Z31" s="145"/>
      <c r="AA31" s="146"/>
      <c r="AB31" s="144" t="s">
        <v>66</v>
      </c>
      <c r="AC31" s="145"/>
      <c r="AD31" s="145"/>
      <c r="AE31" s="146"/>
      <c r="AF31" s="141" t="s">
        <v>70</v>
      </c>
      <c r="AG31" s="143"/>
      <c r="AH31" s="141" t="s">
        <v>71</v>
      </c>
      <c r="AI31" s="143"/>
      <c r="AJ31" s="141" t="s">
        <v>72</v>
      </c>
      <c r="AK31" s="143"/>
      <c r="AL31" s="119" t="s">
        <v>73</v>
      </c>
      <c r="AM31" s="119" t="s">
        <v>74</v>
      </c>
      <c r="AN31" s="119" t="s">
        <v>75</v>
      </c>
      <c r="AO31" s="119" t="s">
        <v>76</v>
      </c>
      <c r="AP31" s="120"/>
      <c r="AQ31" s="120"/>
      <c r="AR31" s="120"/>
      <c r="AS31" s="120"/>
      <c r="AT31" s="162" t="s">
        <v>95</v>
      </c>
      <c r="AU31" s="162" t="s">
        <v>96</v>
      </c>
      <c r="AV31" s="160"/>
    </row>
    <row r="32" spans="1:70" s="12" customFormat="1" ht="51.75" customHeight="1" x14ac:dyDescent="0.2">
      <c r="A32" s="120"/>
      <c r="B32" s="120"/>
      <c r="C32" s="120"/>
      <c r="D32" s="115"/>
      <c r="E32" s="115"/>
      <c r="F32" s="115"/>
      <c r="G32" s="115"/>
      <c r="H32" s="115"/>
      <c r="I32" s="115"/>
      <c r="J32" s="115"/>
      <c r="K32" s="115"/>
      <c r="L32" s="21" t="s">
        <v>1</v>
      </c>
      <c r="M32" s="21" t="s">
        <v>11</v>
      </c>
      <c r="N32" s="21" t="s">
        <v>12</v>
      </c>
      <c r="O32" s="21" t="s">
        <v>13</v>
      </c>
      <c r="P32" s="126"/>
      <c r="Q32" s="129"/>
      <c r="R32" s="121"/>
      <c r="S32" s="121"/>
      <c r="T32" s="117">
        <v>0.4</v>
      </c>
      <c r="U32" s="118"/>
      <c r="V32" s="117">
        <v>0.5</v>
      </c>
      <c r="W32" s="118"/>
      <c r="X32" s="117">
        <v>0.4</v>
      </c>
      <c r="Y32" s="118"/>
      <c r="Z32" s="117">
        <v>0.5</v>
      </c>
      <c r="AA32" s="118"/>
      <c r="AB32" s="117">
        <v>0.4</v>
      </c>
      <c r="AC32" s="118"/>
      <c r="AD32" s="117">
        <v>0.5</v>
      </c>
      <c r="AE32" s="118"/>
      <c r="AF32" s="147">
        <v>0.5</v>
      </c>
      <c r="AG32" s="148"/>
      <c r="AH32" s="147">
        <v>0.6</v>
      </c>
      <c r="AI32" s="148"/>
      <c r="AJ32" s="147">
        <v>0.6</v>
      </c>
      <c r="AK32" s="148"/>
      <c r="AL32" s="121"/>
      <c r="AM32" s="121"/>
      <c r="AN32" s="121"/>
      <c r="AO32" s="121"/>
      <c r="AP32" s="121"/>
      <c r="AQ32" s="121"/>
      <c r="AR32" s="121"/>
      <c r="AS32" s="121"/>
      <c r="AT32" s="162"/>
      <c r="AU32" s="162"/>
      <c r="AV32" s="160"/>
    </row>
    <row r="33" spans="1:58" s="12" customFormat="1" ht="20.25" customHeight="1" x14ac:dyDescent="0.2">
      <c r="A33" s="121"/>
      <c r="B33" s="121"/>
      <c r="C33" s="121"/>
      <c r="D33" s="116"/>
      <c r="E33" s="116"/>
      <c r="F33" s="116"/>
      <c r="G33" s="116"/>
      <c r="H33" s="116"/>
      <c r="I33" s="116"/>
      <c r="J33" s="116"/>
      <c r="K33" s="116"/>
      <c r="L33" s="22" t="s">
        <v>15</v>
      </c>
      <c r="M33" s="22" t="s">
        <v>15</v>
      </c>
      <c r="N33" s="22" t="s">
        <v>15</v>
      </c>
      <c r="O33" s="22" t="s">
        <v>15</v>
      </c>
      <c r="P33" s="127"/>
      <c r="Q33" s="130"/>
      <c r="R33" s="23" t="s">
        <v>16</v>
      </c>
      <c r="S33" s="23" t="s">
        <v>16</v>
      </c>
      <c r="T33" s="24">
        <v>0.5</v>
      </c>
      <c r="U33" s="24">
        <v>1</v>
      </c>
      <c r="V33" s="24">
        <v>0.5</v>
      </c>
      <c r="W33" s="24">
        <v>1</v>
      </c>
      <c r="X33" s="24">
        <v>0.5</v>
      </c>
      <c r="Y33" s="24">
        <v>1</v>
      </c>
      <c r="Z33" s="24">
        <v>0.5</v>
      </c>
      <c r="AA33" s="24">
        <v>1</v>
      </c>
      <c r="AB33" s="24">
        <v>0.5</v>
      </c>
      <c r="AC33" s="24">
        <v>1</v>
      </c>
      <c r="AD33" s="24">
        <v>0.5</v>
      </c>
      <c r="AE33" s="24">
        <v>1</v>
      </c>
      <c r="AF33" s="25">
        <v>0.5</v>
      </c>
      <c r="AG33" s="25">
        <v>1</v>
      </c>
      <c r="AH33" s="25">
        <v>0.5</v>
      </c>
      <c r="AI33" s="25">
        <v>1</v>
      </c>
      <c r="AJ33" s="25">
        <v>0.5</v>
      </c>
      <c r="AK33" s="25">
        <v>1</v>
      </c>
      <c r="AL33" s="23" t="s">
        <v>14</v>
      </c>
      <c r="AM33" s="23" t="s">
        <v>14</v>
      </c>
      <c r="AN33" s="23" t="s">
        <v>14</v>
      </c>
      <c r="AO33" s="23" t="s">
        <v>14</v>
      </c>
      <c r="AP33" s="23" t="s">
        <v>44</v>
      </c>
      <c r="AQ33" s="23" t="s">
        <v>14</v>
      </c>
      <c r="AR33" s="23" t="s">
        <v>14</v>
      </c>
      <c r="AS33" s="23" t="s">
        <v>14</v>
      </c>
      <c r="AT33" s="23" t="s">
        <v>14</v>
      </c>
      <c r="AU33" s="23" t="s">
        <v>14</v>
      </c>
      <c r="AV33" s="161"/>
    </row>
    <row r="34" spans="1:58" s="12" customFormat="1" ht="57" customHeight="1" x14ac:dyDescent="0.2">
      <c r="A34" s="52"/>
      <c r="B34" s="56" t="s">
        <v>214</v>
      </c>
      <c r="C34" s="32" t="s">
        <v>139</v>
      </c>
      <c r="D34" s="89" t="s">
        <v>142</v>
      </c>
      <c r="E34" s="109" t="s">
        <v>234</v>
      </c>
      <c r="F34" s="58" t="s">
        <v>143</v>
      </c>
      <c r="G34" s="107" t="s">
        <v>235</v>
      </c>
      <c r="H34" s="108">
        <v>4.66</v>
      </c>
      <c r="I34" s="77">
        <v>1.75</v>
      </c>
      <c r="J34" s="35">
        <f>17697*I34*H34</f>
        <v>144319.035</v>
      </c>
      <c r="K34" s="78">
        <f t="shared" ref="K34" si="2">((L34/24)+((M34+N34+O34)/16))</f>
        <v>0.25</v>
      </c>
      <c r="L34" s="60"/>
      <c r="M34" s="60"/>
      <c r="N34" s="60"/>
      <c r="O34" s="60">
        <v>4</v>
      </c>
      <c r="P34" s="79">
        <v>0.25</v>
      </c>
      <c r="Q34" s="80">
        <v>0.1</v>
      </c>
      <c r="R34" s="81">
        <f t="shared" ref="R34" si="3">M34+N34+O34</f>
        <v>4</v>
      </c>
      <c r="S34" s="60"/>
      <c r="T34" s="82"/>
      <c r="U34" s="24"/>
      <c r="V34" s="24"/>
      <c r="W34" s="24"/>
      <c r="X34" s="24"/>
      <c r="Y34" s="24"/>
      <c r="Z34" s="24"/>
      <c r="AA34" s="24"/>
      <c r="AB34" s="83" t="s">
        <v>211</v>
      </c>
      <c r="AC34" s="24"/>
      <c r="AD34" s="83"/>
      <c r="AE34" s="24"/>
      <c r="AF34" s="25"/>
      <c r="AG34" s="25"/>
      <c r="AH34" s="25"/>
      <c r="AI34" s="25"/>
      <c r="AJ34" s="25"/>
      <c r="AK34" s="25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84"/>
    </row>
    <row r="35" spans="1:58" s="43" customFormat="1" ht="60" x14ac:dyDescent="0.2">
      <c r="A35" s="32">
        <v>1</v>
      </c>
      <c r="B35" s="56" t="s">
        <v>100</v>
      </c>
      <c r="C35" s="32" t="s">
        <v>101</v>
      </c>
      <c r="D35" s="85" t="s">
        <v>102</v>
      </c>
      <c r="E35" s="104" t="s">
        <v>223</v>
      </c>
      <c r="F35" s="58" t="s">
        <v>197</v>
      </c>
      <c r="G35" s="56" t="s">
        <v>168</v>
      </c>
      <c r="H35" s="55">
        <v>5.12</v>
      </c>
      <c r="I35" s="77">
        <v>1.75</v>
      </c>
      <c r="J35" s="35">
        <f>17697*I35*H35</f>
        <v>158565.12</v>
      </c>
      <c r="K35" s="78">
        <f t="shared" ref="K35:K40" si="4">((L35/24)+((M35+N35+O35)/16))</f>
        <v>1.0625</v>
      </c>
      <c r="L35" s="60"/>
      <c r="M35" s="60">
        <v>17</v>
      </c>
      <c r="N35" s="60"/>
      <c r="O35" s="60"/>
      <c r="P35" s="79">
        <v>0.25</v>
      </c>
      <c r="Q35" s="80">
        <v>0.1</v>
      </c>
      <c r="R35" s="81">
        <f t="shared" ref="R35:R66" si="5">M35+N35+O35</f>
        <v>17</v>
      </c>
      <c r="S35" s="60"/>
      <c r="T35" s="82">
        <v>14</v>
      </c>
      <c r="U35" s="82"/>
      <c r="V35" s="82"/>
      <c r="W35" s="60"/>
      <c r="X35" s="82"/>
      <c r="Y35" s="82"/>
      <c r="Z35" s="60"/>
      <c r="AA35" s="82"/>
      <c r="AB35" s="82"/>
      <c r="AC35" s="60"/>
      <c r="AD35" s="81"/>
      <c r="AE35" s="60"/>
      <c r="AF35" s="59">
        <v>0.25</v>
      </c>
      <c r="AG35" s="61"/>
      <c r="AH35" s="59"/>
      <c r="AI35" s="59"/>
      <c r="AJ35" s="59"/>
      <c r="AK35" s="59"/>
      <c r="AL35" s="54"/>
      <c r="AM35" s="54"/>
      <c r="AN35" s="54">
        <v>0.35</v>
      </c>
      <c r="AO35" s="54"/>
      <c r="AP35" s="60">
        <v>10</v>
      </c>
      <c r="AQ35" s="54"/>
      <c r="AR35" s="54"/>
      <c r="AS35" s="54"/>
      <c r="AT35" s="54">
        <v>0.2</v>
      </c>
      <c r="AU35" s="54"/>
      <c r="AV35" s="61"/>
      <c r="AW35" s="51"/>
      <c r="AX35" s="51"/>
      <c r="AY35" s="51"/>
      <c r="AZ35" s="51"/>
      <c r="BA35" s="51"/>
      <c r="BB35" s="51"/>
      <c r="BC35" s="51"/>
      <c r="BD35" s="51"/>
      <c r="BE35" s="51"/>
      <c r="BF35" s="51"/>
    </row>
    <row r="36" spans="1:58" s="43" customFormat="1" ht="36" x14ac:dyDescent="0.2">
      <c r="A36" s="32">
        <f>A35+1</f>
        <v>2</v>
      </c>
      <c r="B36" s="57" t="s">
        <v>187</v>
      </c>
      <c r="C36" s="32" t="s">
        <v>213</v>
      </c>
      <c r="D36" s="57" t="s">
        <v>188</v>
      </c>
      <c r="E36" s="104" t="s">
        <v>224</v>
      </c>
      <c r="F36" s="58" t="s">
        <v>205</v>
      </c>
      <c r="G36" s="111" t="s">
        <v>203</v>
      </c>
      <c r="H36" s="112">
        <v>4.59</v>
      </c>
      <c r="I36" s="77">
        <v>1.75</v>
      </c>
      <c r="J36" s="35">
        <f>17697*I36*H36</f>
        <v>142151.1525</v>
      </c>
      <c r="K36" s="78">
        <f t="shared" si="4"/>
        <v>0.125</v>
      </c>
      <c r="L36" s="60"/>
      <c r="M36" s="60"/>
      <c r="N36" s="60">
        <v>2</v>
      </c>
      <c r="O36" s="60"/>
      <c r="P36" s="79">
        <v>0.25</v>
      </c>
      <c r="Q36" s="80">
        <v>0.1</v>
      </c>
      <c r="R36" s="82">
        <f t="shared" si="5"/>
        <v>2</v>
      </c>
      <c r="S36" s="60"/>
      <c r="T36" s="81"/>
      <c r="U36" s="82"/>
      <c r="V36" s="82"/>
      <c r="W36" s="60"/>
      <c r="X36" s="82"/>
      <c r="Y36" s="82"/>
      <c r="Z36" s="60"/>
      <c r="AA36" s="82"/>
      <c r="AB36" s="82"/>
      <c r="AC36" s="60"/>
      <c r="AD36" s="81"/>
      <c r="AE36" s="60"/>
      <c r="AF36" s="59"/>
      <c r="AG36" s="59"/>
      <c r="AH36" s="59"/>
      <c r="AI36" s="59"/>
      <c r="AJ36" s="59"/>
      <c r="AK36" s="59"/>
      <c r="AL36" s="54"/>
      <c r="AM36" s="54"/>
      <c r="AN36" s="54"/>
      <c r="AO36" s="54"/>
      <c r="AP36" s="60"/>
      <c r="AQ36" s="54"/>
      <c r="AR36" s="54"/>
      <c r="AS36" s="54"/>
      <c r="AT36" s="54"/>
      <c r="AU36" s="54"/>
      <c r="AV36" s="61"/>
      <c r="AW36" s="51"/>
      <c r="AX36" s="51"/>
      <c r="AY36" s="51"/>
      <c r="AZ36" s="51"/>
      <c r="BA36" s="51"/>
      <c r="BB36" s="51"/>
      <c r="BC36" s="51"/>
      <c r="BD36" s="51"/>
      <c r="BE36" s="51"/>
      <c r="BF36" s="51"/>
    </row>
    <row r="37" spans="1:58" s="43" customFormat="1" ht="48" x14ac:dyDescent="0.2">
      <c r="A37" s="32">
        <f t="shared" ref="A37:A66" si="6">A36+1</f>
        <v>3</v>
      </c>
      <c r="B37" s="56" t="s">
        <v>104</v>
      </c>
      <c r="C37" s="56" t="s">
        <v>106</v>
      </c>
      <c r="D37" s="87" t="s">
        <v>105</v>
      </c>
      <c r="E37" s="104" t="s">
        <v>225</v>
      </c>
      <c r="F37" s="58" t="s">
        <v>99</v>
      </c>
      <c r="G37" s="56" t="s">
        <v>203</v>
      </c>
      <c r="H37" s="55">
        <v>4.59</v>
      </c>
      <c r="I37" s="77">
        <v>1.75</v>
      </c>
      <c r="J37" s="35">
        <f t="shared" ref="J37:J67" si="7">17697*I37*H37</f>
        <v>142151.1525</v>
      </c>
      <c r="K37" s="78">
        <f t="shared" si="4"/>
        <v>6.25E-2</v>
      </c>
      <c r="L37" s="60"/>
      <c r="M37" s="60"/>
      <c r="N37" s="60"/>
      <c r="O37" s="60">
        <v>1</v>
      </c>
      <c r="P37" s="79">
        <v>0.25</v>
      </c>
      <c r="Q37" s="80">
        <v>0.1</v>
      </c>
      <c r="R37" s="81">
        <f t="shared" si="5"/>
        <v>1</v>
      </c>
      <c r="S37" s="60"/>
      <c r="T37" s="81"/>
      <c r="U37" s="82"/>
      <c r="V37" s="82"/>
      <c r="W37" s="60"/>
      <c r="X37" s="82"/>
      <c r="Y37" s="82"/>
      <c r="Z37" s="60"/>
      <c r="AA37" s="82"/>
      <c r="AB37" s="82"/>
      <c r="AC37" s="60"/>
      <c r="AD37" s="81"/>
      <c r="AE37" s="60"/>
      <c r="AF37" s="59"/>
      <c r="AG37" s="59"/>
      <c r="AH37" s="59"/>
      <c r="AI37" s="59"/>
      <c r="AJ37" s="59"/>
      <c r="AK37" s="59"/>
      <c r="AL37" s="54"/>
      <c r="AM37" s="54"/>
      <c r="AN37" s="54"/>
      <c r="AO37" s="54"/>
      <c r="AP37" s="60"/>
      <c r="AQ37" s="54"/>
      <c r="AR37" s="54"/>
      <c r="AS37" s="54"/>
      <c r="AT37" s="54"/>
      <c r="AU37" s="54"/>
      <c r="AV37" s="61"/>
      <c r="AW37" s="51"/>
      <c r="AX37" s="51"/>
      <c r="AY37" s="51"/>
      <c r="AZ37" s="51"/>
      <c r="BA37" s="51"/>
      <c r="BB37" s="51"/>
      <c r="BC37" s="51"/>
      <c r="BD37" s="51"/>
      <c r="BE37" s="51"/>
      <c r="BF37" s="51"/>
    </row>
    <row r="38" spans="1:58" s="43" customFormat="1" ht="24" x14ac:dyDescent="0.2">
      <c r="A38" s="32">
        <f t="shared" si="6"/>
        <v>4</v>
      </c>
      <c r="B38" s="56" t="s">
        <v>104</v>
      </c>
      <c r="C38" s="56" t="s">
        <v>134</v>
      </c>
      <c r="D38" s="56" t="s">
        <v>185</v>
      </c>
      <c r="E38" s="104" t="s">
        <v>225</v>
      </c>
      <c r="F38" s="58" t="s">
        <v>99</v>
      </c>
      <c r="G38" s="56" t="s">
        <v>203</v>
      </c>
      <c r="H38" s="55">
        <v>4.59</v>
      </c>
      <c r="I38" s="77">
        <v>1.75</v>
      </c>
      <c r="J38" s="35">
        <f t="shared" si="7"/>
        <v>142151.1525</v>
      </c>
      <c r="K38" s="78">
        <f t="shared" si="4"/>
        <v>0.4375</v>
      </c>
      <c r="L38" s="60"/>
      <c r="M38" s="60"/>
      <c r="N38" s="60">
        <v>7</v>
      </c>
      <c r="O38" s="60"/>
      <c r="P38" s="79">
        <v>0.25</v>
      </c>
      <c r="Q38" s="80">
        <v>0.1</v>
      </c>
      <c r="R38" s="81">
        <f t="shared" si="5"/>
        <v>7</v>
      </c>
      <c r="S38" s="60"/>
      <c r="T38" s="81"/>
      <c r="U38" s="82"/>
      <c r="V38" s="82"/>
      <c r="W38" s="60"/>
      <c r="X38" s="82"/>
      <c r="Y38" s="82"/>
      <c r="Z38" s="60"/>
      <c r="AA38" s="82"/>
      <c r="AB38" s="82"/>
      <c r="AC38" s="60"/>
      <c r="AD38" s="81"/>
      <c r="AE38" s="60"/>
      <c r="AF38" s="59"/>
      <c r="AG38" s="59"/>
      <c r="AH38" s="59"/>
      <c r="AI38" s="59"/>
      <c r="AJ38" s="59"/>
      <c r="AK38" s="59"/>
      <c r="AL38" s="54"/>
      <c r="AM38" s="54"/>
      <c r="AN38" s="54"/>
      <c r="AO38" s="54"/>
      <c r="AP38" s="60"/>
      <c r="AQ38" s="54"/>
      <c r="AR38" s="54"/>
      <c r="AS38" s="54"/>
      <c r="AT38" s="54"/>
      <c r="AU38" s="54">
        <v>0.3</v>
      </c>
      <c r="AV38" s="61"/>
      <c r="AW38" s="51"/>
      <c r="AX38" s="51"/>
      <c r="AY38" s="51"/>
      <c r="AZ38" s="51"/>
      <c r="BA38" s="51"/>
      <c r="BB38" s="51"/>
      <c r="BC38" s="51"/>
      <c r="BD38" s="51"/>
      <c r="BE38" s="51"/>
      <c r="BF38" s="51"/>
    </row>
    <row r="39" spans="1:58" s="43" customFormat="1" ht="48" x14ac:dyDescent="0.2">
      <c r="A39" s="32">
        <f t="shared" si="6"/>
        <v>5</v>
      </c>
      <c r="B39" s="56" t="s">
        <v>107</v>
      </c>
      <c r="C39" s="32" t="s">
        <v>108</v>
      </c>
      <c r="D39" s="88" t="s">
        <v>105</v>
      </c>
      <c r="E39" s="105" t="s">
        <v>226</v>
      </c>
      <c r="F39" s="58" t="s">
        <v>109</v>
      </c>
      <c r="G39" s="56" t="s">
        <v>204</v>
      </c>
      <c r="H39" s="55">
        <v>4.9000000000000004</v>
      </c>
      <c r="I39" s="77">
        <v>1.75</v>
      </c>
      <c r="J39" s="35">
        <f t="shared" si="7"/>
        <v>151751.77500000002</v>
      </c>
      <c r="K39" s="78">
        <f t="shared" si="4"/>
        <v>0.9375</v>
      </c>
      <c r="L39" s="60"/>
      <c r="M39" s="60">
        <v>6</v>
      </c>
      <c r="N39" s="60">
        <v>6</v>
      </c>
      <c r="O39" s="60">
        <v>3</v>
      </c>
      <c r="P39" s="79">
        <v>0.25</v>
      </c>
      <c r="Q39" s="80">
        <v>0.1</v>
      </c>
      <c r="R39" s="81">
        <f t="shared" si="5"/>
        <v>15</v>
      </c>
      <c r="S39" s="60"/>
      <c r="T39" s="81"/>
      <c r="U39" s="82"/>
      <c r="V39" s="82"/>
      <c r="W39" s="60"/>
      <c r="X39" s="82"/>
      <c r="Y39" s="82"/>
      <c r="Z39" s="60"/>
      <c r="AA39" s="82"/>
      <c r="AB39" s="82"/>
      <c r="AC39" s="60"/>
      <c r="AD39" s="81"/>
      <c r="AE39" s="60"/>
      <c r="AF39" s="59"/>
      <c r="AG39" s="59"/>
      <c r="AH39" s="59"/>
      <c r="AI39" s="59"/>
      <c r="AJ39" s="59"/>
      <c r="AK39" s="59"/>
      <c r="AL39" s="54"/>
      <c r="AM39" s="54"/>
      <c r="AN39" s="54"/>
      <c r="AO39" s="54">
        <v>0.3</v>
      </c>
      <c r="AP39" s="60"/>
      <c r="AQ39" s="54"/>
      <c r="AR39" s="54">
        <v>1</v>
      </c>
      <c r="AS39" s="54"/>
      <c r="AT39" s="54">
        <v>0.2</v>
      </c>
      <c r="AU39" s="54"/>
      <c r="AV39" s="61"/>
      <c r="AW39" s="51"/>
      <c r="AX39" s="51"/>
      <c r="AY39" s="51"/>
      <c r="AZ39" s="51"/>
      <c r="BA39" s="51"/>
      <c r="BB39" s="51"/>
      <c r="BC39" s="51"/>
      <c r="BD39" s="51"/>
      <c r="BE39" s="51"/>
      <c r="BF39" s="51"/>
    </row>
    <row r="40" spans="1:58" s="43" customFormat="1" ht="36" x14ac:dyDescent="0.2">
      <c r="A40" s="32">
        <f t="shared" si="6"/>
        <v>6</v>
      </c>
      <c r="B40" s="56" t="s">
        <v>110</v>
      </c>
      <c r="C40" s="32" t="s">
        <v>108</v>
      </c>
      <c r="D40" s="86" t="s">
        <v>111</v>
      </c>
      <c r="E40" s="104" t="s">
        <v>227</v>
      </c>
      <c r="F40" s="58" t="s">
        <v>205</v>
      </c>
      <c r="G40" s="56" t="s">
        <v>206</v>
      </c>
      <c r="H40" s="55">
        <v>4.49</v>
      </c>
      <c r="I40" s="77">
        <v>1.75</v>
      </c>
      <c r="J40" s="35">
        <f t="shared" si="7"/>
        <v>139054.17750000002</v>
      </c>
      <c r="K40" s="78">
        <f t="shared" si="4"/>
        <v>0.9375</v>
      </c>
      <c r="L40" s="60"/>
      <c r="M40" s="60"/>
      <c r="N40" s="60">
        <v>9</v>
      </c>
      <c r="O40" s="60">
        <v>6</v>
      </c>
      <c r="P40" s="79">
        <v>0.25</v>
      </c>
      <c r="Q40" s="80">
        <v>0.1</v>
      </c>
      <c r="R40" s="81">
        <f t="shared" si="5"/>
        <v>15</v>
      </c>
      <c r="S40" s="60"/>
      <c r="T40" s="81"/>
      <c r="U40" s="82"/>
      <c r="V40" s="82"/>
      <c r="W40" s="60"/>
      <c r="X40" s="82"/>
      <c r="Y40" s="82"/>
      <c r="Z40" s="60"/>
      <c r="AA40" s="82"/>
      <c r="AB40" s="82"/>
      <c r="AC40" s="60"/>
      <c r="AD40" s="81"/>
      <c r="AE40" s="60"/>
      <c r="AF40" s="59"/>
      <c r="AG40" s="59"/>
      <c r="AH40" s="59"/>
      <c r="AJ40" s="59"/>
      <c r="AK40" s="59"/>
      <c r="AL40" s="54"/>
      <c r="AM40" s="54"/>
      <c r="AN40" s="54"/>
      <c r="AO40" s="54"/>
      <c r="AP40" s="60"/>
      <c r="AQ40" s="54"/>
      <c r="AR40" s="54">
        <v>1</v>
      </c>
      <c r="AS40" s="54"/>
      <c r="AT40" s="54"/>
      <c r="AU40" s="54"/>
      <c r="AV40" s="61"/>
      <c r="AW40" s="51"/>
      <c r="AX40" s="51"/>
      <c r="AY40" s="51"/>
      <c r="AZ40" s="51"/>
      <c r="BA40" s="51"/>
      <c r="BB40" s="51"/>
      <c r="BC40" s="51"/>
      <c r="BD40" s="51"/>
      <c r="BE40" s="51"/>
      <c r="BF40" s="51"/>
    </row>
    <row r="41" spans="1:58" s="43" customFormat="1" ht="60" x14ac:dyDescent="0.2">
      <c r="A41" s="32">
        <f t="shared" si="6"/>
        <v>7</v>
      </c>
      <c r="B41" s="56" t="s">
        <v>112</v>
      </c>
      <c r="C41" s="56" t="s">
        <v>114</v>
      </c>
      <c r="D41" s="56" t="s">
        <v>113</v>
      </c>
      <c r="E41" s="106" t="s">
        <v>228</v>
      </c>
      <c r="F41" s="58" t="s">
        <v>115</v>
      </c>
      <c r="G41" s="56" t="s">
        <v>207</v>
      </c>
      <c r="H41" s="55">
        <v>5.41</v>
      </c>
      <c r="I41" s="77">
        <v>1.75</v>
      </c>
      <c r="J41" s="35">
        <f t="shared" si="7"/>
        <v>167546.3475</v>
      </c>
      <c r="K41" s="78">
        <f t="shared" ref="K41:K67" si="8">((L41/24)+((M41+N41+O41)/16))</f>
        <v>1.0625</v>
      </c>
      <c r="L41" s="60"/>
      <c r="M41" s="60">
        <v>17</v>
      </c>
      <c r="N41" s="60"/>
      <c r="O41" s="60"/>
      <c r="P41" s="79">
        <v>0.25</v>
      </c>
      <c r="Q41" s="80">
        <v>0.1</v>
      </c>
      <c r="R41" s="81">
        <f t="shared" si="5"/>
        <v>17</v>
      </c>
      <c r="S41" s="60"/>
      <c r="T41" s="81">
        <v>14</v>
      </c>
      <c r="U41" s="82"/>
      <c r="V41" s="82"/>
      <c r="W41" s="60"/>
      <c r="X41" s="82"/>
      <c r="Y41" s="82"/>
      <c r="Z41" s="60"/>
      <c r="AA41" s="82"/>
      <c r="AB41" s="82"/>
      <c r="AC41" s="60"/>
      <c r="AD41" s="81"/>
      <c r="AE41" s="60"/>
      <c r="AF41" s="59">
        <v>0.25</v>
      </c>
      <c r="AG41" s="59"/>
      <c r="AH41" s="59"/>
      <c r="AI41" s="59"/>
      <c r="AJ41" s="59"/>
      <c r="AK41" s="59"/>
      <c r="AL41" s="54"/>
      <c r="AM41" s="54">
        <v>0.4</v>
      </c>
      <c r="AN41" s="54"/>
      <c r="AO41" s="54"/>
      <c r="AP41" s="60"/>
      <c r="AQ41" s="54"/>
      <c r="AR41" s="54"/>
      <c r="AS41" s="54"/>
      <c r="AT41" s="54">
        <v>0.2</v>
      </c>
      <c r="AU41" s="54"/>
      <c r="AV41" s="61"/>
      <c r="AW41" s="51"/>
      <c r="AX41" s="51"/>
      <c r="AY41" s="51"/>
      <c r="AZ41" s="51"/>
      <c r="BA41" s="51"/>
      <c r="BB41" s="51"/>
      <c r="BC41" s="51"/>
      <c r="BD41" s="51"/>
      <c r="BE41" s="51"/>
      <c r="BF41" s="51"/>
    </row>
    <row r="42" spans="1:58" s="43" customFormat="1" ht="60" x14ac:dyDescent="0.2">
      <c r="A42" s="32">
        <f t="shared" si="6"/>
        <v>8</v>
      </c>
      <c r="B42" s="56" t="s">
        <v>116</v>
      </c>
      <c r="C42" s="56" t="s">
        <v>117</v>
      </c>
      <c r="D42" s="56" t="s">
        <v>118</v>
      </c>
      <c r="E42" s="106" t="s">
        <v>229</v>
      </c>
      <c r="F42" s="58" t="s">
        <v>119</v>
      </c>
      <c r="G42" s="56" t="s">
        <v>120</v>
      </c>
      <c r="H42" s="55">
        <v>4.99</v>
      </c>
      <c r="I42" s="77">
        <v>1.75</v>
      </c>
      <c r="J42" s="35">
        <f t="shared" si="7"/>
        <v>154539.05250000002</v>
      </c>
      <c r="K42" s="78">
        <f t="shared" si="8"/>
        <v>0.75</v>
      </c>
      <c r="L42" s="60"/>
      <c r="M42" s="60"/>
      <c r="N42" s="60">
        <v>10</v>
      </c>
      <c r="O42" s="60">
        <v>2</v>
      </c>
      <c r="P42" s="79">
        <v>0.25</v>
      </c>
      <c r="Q42" s="80">
        <v>0.1</v>
      </c>
      <c r="R42" s="81">
        <f t="shared" si="5"/>
        <v>12</v>
      </c>
      <c r="S42" s="60"/>
      <c r="T42" s="81"/>
      <c r="U42" s="82"/>
      <c r="V42" s="82"/>
      <c r="W42" s="60"/>
      <c r="X42" s="82"/>
      <c r="Y42" s="82"/>
      <c r="Z42" s="60">
        <v>5</v>
      </c>
      <c r="AA42" s="82">
        <v>5</v>
      </c>
      <c r="AB42" s="82"/>
      <c r="AC42" s="60"/>
      <c r="AD42" s="82">
        <v>2</v>
      </c>
      <c r="AE42" s="60"/>
      <c r="AF42" s="59"/>
      <c r="AG42" s="59"/>
      <c r="AH42" s="59">
        <v>0.3</v>
      </c>
      <c r="AI42" s="59"/>
      <c r="AJ42" s="59"/>
      <c r="AK42" s="59"/>
      <c r="AL42" s="54"/>
      <c r="AM42" s="54"/>
      <c r="AN42" s="54"/>
      <c r="AO42" s="54">
        <v>0.3</v>
      </c>
      <c r="AP42" s="60"/>
      <c r="AQ42" s="54"/>
      <c r="AR42" s="54"/>
      <c r="AS42" s="54"/>
      <c r="AT42" s="54"/>
      <c r="AU42" s="54"/>
      <c r="AV42" s="61"/>
      <c r="AW42" s="51"/>
      <c r="AX42" s="51"/>
      <c r="AY42" s="51"/>
      <c r="AZ42" s="51"/>
      <c r="BA42" s="51"/>
      <c r="BB42" s="51"/>
      <c r="BC42" s="51"/>
      <c r="BD42" s="51"/>
      <c r="BE42" s="51"/>
      <c r="BF42" s="51"/>
    </row>
    <row r="43" spans="1:58" s="43" customFormat="1" ht="60" x14ac:dyDescent="0.2">
      <c r="A43" s="32">
        <f t="shared" si="6"/>
        <v>9</v>
      </c>
      <c r="B43" s="56" t="s">
        <v>121</v>
      </c>
      <c r="C43" s="56" t="s">
        <v>117</v>
      </c>
      <c r="D43" s="56" t="s">
        <v>118</v>
      </c>
      <c r="E43" s="106" t="s">
        <v>229</v>
      </c>
      <c r="F43" s="58" t="s">
        <v>122</v>
      </c>
      <c r="G43" s="56" t="s">
        <v>120</v>
      </c>
      <c r="H43" s="55">
        <v>4.99</v>
      </c>
      <c r="I43" s="77">
        <v>1.75</v>
      </c>
      <c r="J43" s="35">
        <f t="shared" si="7"/>
        <v>154539.05250000002</v>
      </c>
      <c r="K43" s="78">
        <f t="shared" si="8"/>
        <v>6.25E-2</v>
      </c>
      <c r="L43" s="60"/>
      <c r="M43" s="60"/>
      <c r="N43" s="60"/>
      <c r="O43" s="60">
        <v>1</v>
      </c>
      <c r="P43" s="79">
        <v>0.25</v>
      </c>
      <c r="Q43" s="80">
        <v>0.1</v>
      </c>
      <c r="R43" s="81">
        <f t="shared" si="5"/>
        <v>1</v>
      </c>
      <c r="S43" s="60"/>
      <c r="T43" s="81"/>
      <c r="U43" s="82"/>
      <c r="V43" s="82"/>
      <c r="W43" s="60"/>
      <c r="X43" s="82"/>
      <c r="Y43" s="82"/>
      <c r="Z43" s="60"/>
      <c r="AA43" s="82"/>
      <c r="AB43" s="82"/>
      <c r="AC43" s="60"/>
      <c r="AD43" s="82">
        <v>1</v>
      </c>
      <c r="AE43" s="60"/>
      <c r="AF43" s="59"/>
      <c r="AG43" s="59"/>
      <c r="AH43" s="59"/>
      <c r="AI43" s="59"/>
      <c r="AJ43" s="59"/>
      <c r="AK43" s="59"/>
      <c r="AL43" s="54"/>
      <c r="AM43" s="54"/>
      <c r="AN43" s="54"/>
      <c r="AO43" s="54">
        <v>0.3</v>
      </c>
      <c r="AP43" s="60"/>
      <c r="AQ43" s="54"/>
      <c r="AR43" s="54"/>
      <c r="AS43" s="54"/>
      <c r="AT43" s="54"/>
      <c r="AU43" s="54"/>
      <c r="AV43" s="61"/>
      <c r="AW43" s="51"/>
      <c r="AX43" s="51"/>
      <c r="AY43" s="51"/>
      <c r="AZ43" s="51"/>
      <c r="BA43" s="51"/>
      <c r="BB43" s="51"/>
      <c r="BC43" s="51"/>
      <c r="BD43" s="51"/>
      <c r="BE43" s="51"/>
      <c r="BF43" s="51"/>
    </row>
    <row r="44" spans="1:58" s="43" customFormat="1" ht="60" x14ac:dyDescent="0.2">
      <c r="A44" s="32">
        <f t="shared" si="6"/>
        <v>10</v>
      </c>
      <c r="B44" s="56" t="s">
        <v>116</v>
      </c>
      <c r="C44" s="32" t="s">
        <v>123</v>
      </c>
      <c r="D44" s="56" t="s">
        <v>118</v>
      </c>
      <c r="E44" s="106" t="s">
        <v>229</v>
      </c>
      <c r="F44" s="58" t="s">
        <v>124</v>
      </c>
      <c r="G44" s="56" t="s">
        <v>103</v>
      </c>
      <c r="H44" s="55">
        <v>5.03</v>
      </c>
      <c r="I44" s="77">
        <v>1.75</v>
      </c>
      <c r="J44" s="35">
        <f t="shared" si="7"/>
        <v>155777.8425</v>
      </c>
      <c r="K44" s="78">
        <f t="shared" si="8"/>
        <v>0.75</v>
      </c>
      <c r="L44" s="60"/>
      <c r="M44" s="60"/>
      <c r="N44" s="60">
        <v>6</v>
      </c>
      <c r="O44" s="60">
        <v>6</v>
      </c>
      <c r="P44" s="79">
        <v>0.25</v>
      </c>
      <c r="Q44" s="80">
        <v>0.1</v>
      </c>
      <c r="R44" s="81">
        <f t="shared" si="5"/>
        <v>12</v>
      </c>
      <c r="S44" s="60"/>
      <c r="T44" s="81"/>
      <c r="U44" s="82"/>
      <c r="V44" s="82"/>
      <c r="W44" s="60"/>
      <c r="X44" s="82"/>
      <c r="Y44" s="82"/>
      <c r="Z44" s="60"/>
      <c r="AA44" s="82"/>
      <c r="AB44" s="82"/>
      <c r="AC44" s="60"/>
      <c r="AD44" s="81"/>
      <c r="AE44" s="60"/>
      <c r="AF44" s="59"/>
      <c r="AG44" s="59"/>
      <c r="AH44" s="59"/>
      <c r="AI44" s="59"/>
      <c r="AJ44" s="59"/>
      <c r="AK44" s="59"/>
      <c r="AL44" s="54"/>
      <c r="AM44" s="54"/>
      <c r="AN44" s="54">
        <v>0.35</v>
      </c>
      <c r="AO44" s="54"/>
      <c r="AP44" s="60"/>
      <c r="AQ44" s="54"/>
      <c r="AR44" s="54"/>
      <c r="AS44" s="54"/>
      <c r="AT44" s="54">
        <v>0.2</v>
      </c>
      <c r="AU44" s="54"/>
      <c r="AV44" s="61"/>
      <c r="AW44" s="51"/>
      <c r="AX44" s="51"/>
      <c r="AY44" s="51"/>
      <c r="AZ44" s="51"/>
      <c r="BA44" s="51"/>
      <c r="BB44" s="51"/>
      <c r="BC44" s="51"/>
      <c r="BD44" s="51"/>
      <c r="BE44" s="51"/>
      <c r="BF44" s="51"/>
    </row>
    <row r="45" spans="1:58" s="43" customFormat="1" ht="48" x14ac:dyDescent="0.2">
      <c r="A45" s="32">
        <f t="shared" si="6"/>
        <v>11</v>
      </c>
      <c r="B45" s="56" t="s">
        <v>125</v>
      </c>
      <c r="C45" s="32" t="s">
        <v>126</v>
      </c>
      <c r="D45" s="56" t="s">
        <v>127</v>
      </c>
      <c r="E45" s="106" t="s">
        <v>230</v>
      </c>
      <c r="F45" s="58" t="s">
        <v>128</v>
      </c>
      <c r="G45" s="56" t="s">
        <v>129</v>
      </c>
      <c r="H45" s="55">
        <v>5.2</v>
      </c>
      <c r="I45" s="77">
        <v>1.75</v>
      </c>
      <c r="J45" s="35">
        <f t="shared" si="7"/>
        <v>161042.70000000001</v>
      </c>
      <c r="K45" s="78">
        <f t="shared" si="8"/>
        <v>0.9375</v>
      </c>
      <c r="L45" s="60"/>
      <c r="M45" s="60"/>
      <c r="N45" s="60">
        <v>15</v>
      </c>
      <c r="O45" s="60"/>
      <c r="P45" s="79">
        <v>0.25</v>
      </c>
      <c r="Q45" s="80">
        <v>0.1</v>
      </c>
      <c r="R45" s="81">
        <f t="shared" si="5"/>
        <v>15</v>
      </c>
      <c r="S45" s="60"/>
      <c r="T45" s="81"/>
      <c r="U45" s="82"/>
      <c r="V45" s="82"/>
      <c r="W45" s="60"/>
      <c r="X45" s="82">
        <v>5</v>
      </c>
      <c r="Y45" s="82">
        <v>10</v>
      </c>
      <c r="Z45" s="60">
        <v>0</v>
      </c>
      <c r="AA45" s="82"/>
      <c r="AB45" s="82"/>
      <c r="AC45" s="60"/>
      <c r="AD45" s="81"/>
      <c r="AE45" s="60"/>
      <c r="AF45" s="59"/>
      <c r="AG45" s="59"/>
      <c r="AH45" s="59"/>
      <c r="AI45" s="59"/>
      <c r="AJ45" s="59"/>
      <c r="AK45" s="59"/>
      <c r="AL45" s="54"/>
      <c r="AM45" s="54"/>
      <c r="AN45" s="54">
        <v>0.35</v>
      </c>
      <c r="AO45" s="54"/>
      <c r="AP45" s="60"/>
      <c r="AQ45" s="54"/>
      <c r="AR45" s="54"/>
      <c r="AS45" s="54"/>
      <c r="AT45" s="54">
        <v>0.2</v>
      </c>
      <c r="AU45" s="54"/>
      <c r="AV45" s="61"/>
      <c r="AW45" s="51"/>
      <c r="AX45" s="51"/>
      <c r="AY45" s="51"/>
      <c r="AZ45" s="51"/>
      <c r="BA45" s="51"/>
      <c r="BB45" s="51"/>
      <c r="BC45" s="51"/>
      <c r="BD45" s="51"/>
      <c r="BE45" s="51"/>
      <c r="BF45" s="51"/>
    </row>
    <row r="46" spans="1:58" s="43" customFormat="1" ht="72" x14ac:dyDescent="0.2">
      <c r="A46" s="32">
        <f t="shared" si="6"/>
        <v>12</v>
      </c>
      <c r="B46" s="56" t="s">
        <v>130</v>
      </c>
      <c r="C46" s="32" t="s">
        <v>132</v>
      </c>
      <c r="D46" s="57" t="s">
        <v>131</v>
      </c>
      <c r="E46" s="103" t="s">
        <v>231</v>
      </c>
      <c r="F46" s="58" t="s">
        <v>99</v>
      </c>
      <c r="G46" s="56" t="s">
        <v>133</v>
      </c>
      <c r="H46" s="55">
        <v>4.67</v>
      </c>
      <c r="I46" s="77">
        <v>1.75</v>
      </c>
      <c r="J46" s="35">
        <f t="shared" si="7"/>
        <v>144628.73249999998</v>
      </c>
      <c r="K46" s="78">
        <f t="shared" si="8"/>
        <v>0.5</v>
      </c>
      <c r="L46" s="60"/>
      <c r="M46" s="60"/>
      <c r="N46" s="60">
        <v>6</v>
      </c>
      <c r="O46" s="60">
        <v>2</v>
      </c>
      <c r="P46" s="79">
        <v>0.25</v>
      </c>
      <c r="Q46" s="80">
        <v>0.1</v>
      </c>
      <c r="R46" s="81">
        <f t="shared" si="5"/>
        <v>8</v>
      </c>
      <c r="S46" s="60"/>
      <c r="T46" s="81"/>
      <c r="U46" s="82"/>
      <c r="V46" s="82"/>
      <c r="W46" s="60"/>
      <c r="X46" s="82">
        <v>2</v>
      </c>
      <c r="Y46" s="82">
        <v>4</v>
      </c>
      <c r="Z46" s="60"/>
      <c r="AA46" s="82"/>
      <c r="AB46" s="82"/>
      <c r="AC46" s="60"/>
      <c r="AD46" s="81"/>
      <c r="AE46" s="60"/>
      <c r="AF46" s="59"/>
      <c r="AG46" s="59"/>
      <c r="AH46" s="59"/>
      <c r="AI46" s="59"/>
      <c r="AJ46" s="59"/>
      <c r="AK46" s="59"/>
      <c r="AL46" s="54"/>
      <c r="AM46" s="54"/>
      <c r="AN46" s="54"/>
      <c r="AO46" s="54"/>
      <c r="AP46" s="60"/>
      <c r="AQ46" s="54"/>
      <c r="AR46" s="54"/>
      <c r="AS46" s="54"/>
      <c r="AT46" s="54"/>
      <c r="AU46" s="54"/>
      <c r="AV46" s="61"/>
      <c r="AW46" s="51"/>
      <c r="AX46" s="51"/>
      <c r="AY46" s="51"/>
      <c r="AZ46" s="51"/>
      <c r="BA46" s="51"/>
      <c r="BB46" s="51"/>
      <c r="BC46" s="51"/>
      <c r="BD46" s="51"/>
      <c r="BE46" s="51"/>
      <c r="BF46" s="51"/>
    </row>
    <row r="47" spans="1:58" s="43" customFormat="1" ht="60" x14ac:dyDescent="0.2">
      <c r="A47" s="32">
        <f t="shared" si="6"/>
        <v>13</v>
      </c>
      <c r="B47" s="56" t="s">
        <v>135</v>
      </c>
      <c r="C47" s="32" t="s">
        <v>136</v>
      </c>
      <c r="D47" s="57" t="s">
        <v>137</v>
      </c>
      <c r="E47" s="103" t="s">
        <v>232</v>
      </c>
      <c r="F47" s="58" t="s">
        <v>138</v>
      </c>
      <c r="G47" s="107" t="s">
        <v>233</v>
      </c>
      <c r="H47" s="108">
        <v>4.51</v>
      </c>
      <c r="I47" s="77">
        <v>1.75</v>
      </c>
      <c r="J47" s="35">
        <f t="shared" si="7"/>
        <v>139673.57249999998</v>
      </c>
      <c r="K47" s="78">
        <f t="shared" si="8"/>
        <v>0.78125</v>
      </c>
      <c r="L47" s="60"/>
      <c r="M47" s="60">
        <v>3.5</v>
      </c>
      <c r="N47" s="60">
        <v>5</v>
      </c>
      <c r="O47" s="60">
        <v>4</v>
      </c>
      <c r="P47" s="79">
        <v>0.25</v>
      </c>
      <c r="Q47" s="80">
        <v>0.1</v>
      </c>
      <c r="R47" s="82">
        <f t="shared" si="5"/>
        <v>12.5</v>
      </c>
      <c r="S47" s="60"/>
      <c r="T47" s="81"/>
      <c r="U47" s="82"/>
      <c r="V47" s="82"/>
      <c r="W47" s="60"/>
      <c r="X47" s="82"/>
      <c r="Y47" s="82"/>
      <c r="Z47" s="60"/>
      <c r="AA47" s="82"/>
      <c r="AB47" s="82"/>
      <c r="AC47" s="60"/>
      <c r="AD47" s="81"/>
      <c r="AE47" s="60"/>
      <c r="AF47" s="59"/>
      <c r="AG47" s="59"/>
      <c r="AH47" s="59"/>
      <c r="AI47" s="59"/>
      <c r="AJ47" s="59"/>
      <c r="AK47" s="59">
        <v>0.3</v>
      </c>
      <c r="AL47" s="54"/>
      <c r="AM47" s="54"/>
      <c r="AN47" s="54"/>
      <c r="AO47" s="54">
        <v>0.3</v>
      </c>
      <c r="AP47" s="60"/>
      <c r="AQ47" s="54"/>
      <c r="AR47" s="54"/>
      <c r="AS47" s="54"/>
      <c r="AT47" s="54">
        <v>0.2</v>
      </c>
      <c r="AU47" s="54"/>
      <c r="AV47" s="61"/>
      <c r="AW47" s="51"/>
      <c r="AX47" s="51"/>
      <c r="AY47" s="51"/>
      <c r="AZ47" s="51"/>
      <c r="BA47" s="51"/>
      <c r="BB47" s="51"/>
      <c r="BC47" s="51"/>
      <c r="BD47" s="51"/>
      <c r="BE47" s="51"/>
      <c r="BF47" s="51"/>
    </row>
    <row r="48" spans="1:58" s="43" customFormat="1" ht="48" x14ac:dyDescent="0.2">
      <c r="A48" s="32">
        <f t="shared" si="6"/>
        <v>14</v>
      </c>
      <c r="B48" s="56" t="s">
        <v>141</v>
      </c>
      <c r="C48" s="32" t="s">
        <v>139</v>
      </c>
      <c r="D48" s="89" t="s">
        <v>142</v>
      </c>
      <c r="E48" s="109" t="s">
        <v>234</v>
      </c>
      <c r="F48" s="58" t="s">
        <v>143</v>
      </c>
      <c r="G48" s="107" t="s">
        <v>235</v>
      </c>
      <c r="H48" s="108">
        <v>4.66</v>
      </c>
      <c r="I48" s="77">
        <v>1.75</v>
      </c>
      <c r="J48" s="35">
        <f t="shared" si="7"/>
        <v>144319.035</v>
      </c>
      <c r="K48" s="78">
        <f t="shared" si="8"/>
        <v>1.3125</v>
      </c>
      <c r="L48" s="60"/>
      <c r="M48" s="60">
        <v>6</v>
      </c>
      <c r="N48" s="60">
        <v>15</v>
      </c>
      <c r="O48" s="60"/>
      <c r="P48" s="79">
        <v>0.25</v>
      </c>
      <c r="Q48" s="80">
        <v>0.1</v>
      </c>
      <c r="R48" s="81">
        <f t="shared" si="5"/>
        <v>21</v>
      </c>
      <c r="S48" s="60"/>
      <c r="T48" s="81">
        <v>4</v>
      </c>
      <c r="U48" s="82">
        <v>2</v>
      </c>
      <c r="V48" s="82"/>
      <c r="W48" s="60"/>
      <c r="X48" s="82">
        <v>3</v>
      </c>
      <c r="Y48" s="82">
        <v>12</v>
      </c>
      <c r="Z48" s="60"/>
      <c r="AA48" s="82"/>
      <c r="AB48" s="82"/>
      <c r="AC48" s="60"/>
      <c r="AD48" s="81"/>
      <c r="AE48" s="60"/>
      <c r="AF48" s="59"/>
      <c r="AG48" s="59"/>
      <c r="AH48" s="59"/>
      <c r="AI48" s="59">
        <v>0.6</v>
      </c>
      <c r="AJ48" s="59"/>
      <c r="AK48" s="59"/>
      <c r="AL48" s="54"/>
      <c r="AM48" s="54"/>
      <c r="AN48" s="54"/>
      <c r="AO48" s="54">
        <v>0.3</v>
      </c>
      <c r="AP48" s="60"/>
      <c r="AQ48" s="54"/>
      <c r="AR48" s="54"/>
      <c r="AS48" s="54"/>
      <c r="AT48" s="54"/>
      <c r="AU48" s="54"/>
      <c r="AV48" s="61"/>
      <c r="AW48" s="51"/>
      <c r="AX48" s="51"/>
      <c r="AY48" s="51"/>
      <c r="AZ48" s="51"/>
      <c r="BA48" s="51"/>
      <c r="BB48" s="51"/>
      <c r="BC48" s="51"/>
      <c r="BD48" s="51"/>
      <c r="BE48" s="51"/>
      <c r="BF48" s="51"/>
    </row>
    <row r="49" spans="1:58" s="43" customFormat="1" ht="60" x14ac:dyDescent="0.2">
      <c r="A49" s="32">
        <f t="shared" si="6"/>
        <v>15</v>
      </c>
      <c r="B49" s="56" t="s">
        <v>144</v>
      </c>
      <c r="C49" s="32" t="s">
        <v>114</v>
      </c>
      <c r="D49" s="89" t="s">
        <v>145</v>
      </c>
      <c r="E49" s="103" t="s">
        <v>236</v>
      </c>
      <c r="F49" s="58" t="s">
        <v>146</v>
      </c>
      <c r="G49" s="56" t="s">
        <v>147</v>
      </c>
      <c r="H49" s="55">
        <v>5.16</v>
      </c>
      <c r="I49" s="77">
        <v>1.75</v>
      </c>
      <c r="J49" s="35">
        <f t="shared" si="7"/>
        <v>159803.91</v>
      </c>
      <c r="K49" s="78">
        <f t="shared" si="8"/>
        <v>1</v>
      </c>
      <c r="L49" s="60"/>
      <c r="M49" s="60">
        <v>16</v>
      </c>
      <c r="N49" s="60"/>
      <c r="O49" s="60"/>
      <c r="P49" s="79">
        <v>0.25</v>
      </c>
      <c r="Q49" s="80">
        <v>0.1</v>
      </c>
      <c r="R49" s="81">
        <f t="shared" si="5"/>
        <v>16</v>
      </c>
      <c r="S49" s="60"/>
      <c r="T49" s="81"/>
      <c r="U49" s="82">
        <v>16</v>
      </c>
      <c r="V49" s="82"/>
      <c r="W49" s="60"/>
      <c r="X49" s="82"/>
      <c r="Y49" s="82"/>
      <c r="Z49" s="60"/>
      <c r="AA49" s="82"/>
      <c r="AB49" s="82"/>
      <c r="AC49" s="60"/>
      <c r="AD49" s="81"/>
      <c r="AE49" s="60"/>
      <c r="AF49" s="59"/>
      <c r="AG49" s="59">
        <v>0.5</v>
      </c>
      <c r="AH49" s="59"/>
      <c r="AI49" s="59"/>
      <c r="AJ49" s="59"/>
      <c r="AK49" s="59"/>
      <c r="AL49" s="54"/>
      <c r="AM49" s="54">
        <v>0.4</v>
      </c>
      <c r="AN49" s="54"/>
      <c r="AO49" s="54"/>
      <c r="AP49" s="60"/>
      <c r="AQ49" s="54"/>
      <c r="AR49" s="54"/>
      <c r="AS49" s="54"/>
      <c r="AT49" s="54">
        <v>0.2</v>
      </c>
      <c r="AU49" s="54"/>
      <c r="AV49" s="61"/>
      <c r="AW49" s="51"/>
      <c r="AX49" s="51"/>
      <c r="AY49" s="51"/>
      <c r="AZ49" s="51"/>
      <c r="BA49" s="51"/>
      <c r="BB49" s="51"/>
      <c r="BC49" s="51"/>
      <c r="BD49" s="51"/>
      <c r="BE49" s="51"/>
      <c r="BF49" s="51"/>
    </row>
    <row r="50" spans="1:58" s="43" customFormat="1" ht="48" x14ac:dyDescent="0.2">
      <c r="A50" s="32">
        <f t="shared" si="6"/>
        <v>16</v>
      </c>
      <c r="B50" s="56" t="s">
        <v>148</v>
      </c>
      <c r="C50" s="32" t="s">
        <v>117</v>
      </c>
      <c r="D50" s="86" t="s">
        <v>149</v>
      </c>
      <c r="E50" s="105" t="s">
        <v>237</v>
      </c>
      <c r="F50" s="58" t="s">
        <v>150</v>
      </c>
      <c r="G50" s="56" t="s">
        <v>151</v>
      </c>
      <c r="H50" s="55">
        <v>4.74</v>
      </c>
      <c r="I50" s="77">
        <v>1.75</v>
      </c>
      <c r="J50" s="35">
        <f t="shared" si="7"/>
        <v>146796.61500000002</v>
      </c>
      <c r="K50" s="78">
        <f t="shared" si="8"/>
        <v>1.125</v>
      </c>
      <c r="L50" s="60"/>
      <c r="M50" s="60"/>
      <c r="N50" s="60">
        <v>15</v>
      </c>
      <c r="O50" s="60">
        <v>3</v>
      </c>
      <c r="P50" s="79">
        <v>0.25</v>
      </c>
      <c r="Q50" s="80">
        <v>0.1</v>
      </c>
      <c r="R50" s="81">
        <f t="shared" si="5"/>
        <v>18</v>
      </c>
      <c r="S50" s="60"/>
      <c r="T50" s="81"/>
      <c r="U50" s="82"/>
      <c r="V50" s="82"/>
      <c r="W50" s="60"/>
      <c r="X50" s="82"/>
      <c r="Y50" s="82"/>
      <c r="Z50" s="60"/>
      <c r="AA50" s="82">
        <v>15</v>
      </c>
      <c r="AB50" s="82"/>
      <c r="AC50" s="60"/>
      <c r="AD50" s="81">
        <v>3</v>
      </c>
      <c r="AE50" s="60"/>
      <c r="AF50" s="59"/>
      <c r="AG50" s="59"/>
      <c r="AH50" s="59"/>
      <c r="AI50" s="59">
        <v>0.6</v>
      </c>
      <c r="AJ50" s="59"/>
      <c r="AK50" s="59"/>
      <c r="AL50" s="54"/>
      <c r="AM50" s="54"/>
      <c r="AN50" s="54"/>
      <c r="AO50" s="54">
        <v>0.3</v>
      </c>
      <c r="AP50" s="60"/>
      <c r="AQ50" s="54"/>
      <c r="AR50" s="54"/>
      <c r="AS50" s="54"/>
      <c r="AT50" s="54"/>
      <c r="AU50" s="54"/>
      <c r="AV50" s="61"/>
      <c r="AW50" s="51"/>
      <c r="AX50" s="51"/>
      <c r="AY50" s="51"/>
      <c r="AZ50" s="51"/>
      <c r="BA50" s="51"/>
      <c r="BB50" s="51"/>
      <c r="BC50" s="51"/>
      <c r="BD50" s="51"/>
      <c r="BE50" s="51"/>
      <c r="BF50" s="51"/>
    </row>
    <row r="51" spans="1:58" s="43" customFormat="1" ht="48" x14ac:dyDescent="0.2">
      <c r="A51" s="32">
        <f t="shared" si="6"/>
        <v>17</v>
      </c>
      <c r="B51" s="56" t="s">
        <v>152</v>
      </c>
      <c r="C51" s="32" t="s">
        <v>153</v>
      </c>
      <c r="D51" s="86" t="s">
        <v>154</v>
      </c>
      <c r="E51" s="105" t="s">
        <v>237</v>
      </c>
      <c r="F51" s="58" t="s">
        <v>150</v>
      </c>
      <c r="G51" s="56" t="s">
        <v>151</v>
      </c>
      <c r="H51" s="55">
        <v>4.74</v>
      </c>
      <c r="I51" s="77">
        <v>1.75</v>
      </c>
      <c r="J51" s="35">
        <f t="shared" si="7"/>
        <v>146796.61500000002</v>
      </c>
      <c r="K51" s="78">
        <f t="shared" si="8"/>
        <v>0</v>
      </c>
      <c r="L51" s="60"/>
      <c r="M51" s="60"/>
      <c r="N51" s="60"/>
      <c r="O51" s="60"/>
      <c r="P51" s="79">
        <v>0.25</v>
      </c>
      <c r="Q51" s="80">
        <v>0.1</v>
      </c>
      <c r="R51" s="81">
        <v>3</v>
      </c>
      <c r="S51" s="90">
        <v>3</v>
      </c>
      <c r="T51" s="91"/>
      <c r="U51" s="92"/>
      <c r="V51" s="92"/>
      <c r="W51" s="90"/>
      <c r="X51" s="92"/>
      <c r="Y51" s="82"/>
      <c r="Z51" s="60">
        <v>3</v>
      </c>
      <c r="AA51" s="82"/>
      <c r="AB51" s="82"/>
      <c r="AC51" s="60"/>
      <c r="AD51" s="81"/>
      <c r="AE51" s="60"/>
      <c r="AF51" s="59"/>
      <c r="AG51" s="59"/>
      <c r="AH51" s="59"/>
      <c r="AI51" s="59"/>
      <c r="AJ51" s="59"/>
      <c r="AK51" s="59"/>
      <c r="AL51" s="54"/>
      <c r="AM51" s="54"/>
      <c r="AN51" s="54"/>
      <c r="AO51" s="54"/>
      <c r="AP51" s="60"/>
      <c r="AQ51" s="54"/>
      <c r="AR51" s="54"/>
      <c r="AS51" s="54"/>
      <c r="AT51" s="54"/>
      <c r="AU51" s="54"/>
      <c r="AV51" s="61"/>
      <c r="AW51" s="51"/>
      <c r="AX51" s="51"/>
      <c r="AY51" s="51"/>
      <c r="AZ51" s="51"/>
      <c r="BA51" s="51"/>
      <c r="BB51" s="51"/>
      <c r="BC51" s="51"/>
      <c r="BD51" s="51"/>
      <c r="BE51" s="51"/>
      <c r="BF51" s="51"/>
    </row>
    <row r="52" spans="1:58" s="43" customFormat="1" ht="48" x14ac:dyDescent="0.2">
      <c r="A52" s="32">
        <f t="shared" si="6"/>
        <v>18</v>
      </c>
      <c r="B52" s="56" t="s">
        <v>155</v>
      </c>
      <c r="C52" s="32" t="s">
        <v>157</v>
      </c>
      <c r="D52" s="89" t="s">
        <v>156</v>
      </c>
      <c r="E52" s="105" t="s">
        <v>238</v>
      </c>
      <c r="F52" s="58" t="s">
        <v>158</v>
      </c>
      <c r="G52" s="56" t="s">
        <v>159</v>
      </c>
      <c r="H52" s="55">
        <v>5.2</v>
      </c>
      <c r="I52" s="77">
        <v>1.75</v>
      </c>
      <c r="J52" s="35">
        <f t="shared" si="7"/>
        <v>161042.70000000001</v>
      </c>
      <c r="K52" s="78">
        <f t="shared" si="8"/>
        <v>0.4375</v>
      </c>
      <c r="L52" s="60"/>
      <c r="M52" s="60"/>
      <c r="N52" s="60">
        <v>5</v>
      </c>
      <c r="O52" s="60">
        <v>2</v>
      </c>
      <c r="P52" s="79">
        <v>0.25</v>
      </c>
      <c r="Q52" s="80">
        <v>0.1</v>
      </c>
      <c r="R52" s="81">
        <f t="shared" si="5"/>
        <v>7</v>
      </c>
      <c r="S52" s="60"/>
      <c r="T52" s="81"/>
      <c r="U52" s="82"/>
      <c r="V52" s="82"/>
      <c r="W52" s="60"/>
      <c r="X52" s="82">
        <v>2</v>
      </c>
      <c r="Y52" s="82">
        <v>3</v>
      </c>
      <c r="Z52" s="60"/>
      <c r="AA52" s="82"/>
      <c r="AB52" s="82"/>
      <c r="AC52" s="60"/>
      <c r="AD52" s="81"/>
      <c r="AE52" s="60"/>
      <c r="AF52" s="59"/>
      <c r="AG52" s="59"/>
      <c r="AH52" s="59"/>
      <c r="AI52" s="59"/>
      <c r="AJ52" s="59"/>
      <c r="AK52" s="59">
        <v>0.3</v>
      </c>
      <c r="AL52" s="54"/>
      <c r="AM52" s="54"/>
      <c r="AN52" s="54">
        <v>0.35</v>
      </c>
      <c r="AO52" s="54"/>
      <c r="AP52" s="60"/>
      <c r="AQ52" s="54"/>
      <c r="AR52" s="54"/>
      <c r="AS52" s="54">
        <v>1</v>
      </c>
      <c r="AT52" s="54">
        <v>0.2</v>
      </c>
      <c r="AU52" s="54"/>
      <c r="AV52" s="61"/>
      <c r="AW52" s="51"/>
      <c r="AX52" s="51"/>
      <c r="AY52" s="51"/>
      <c r="AZ52" s="51"/>
      <c r="BA52" s="51"/>
      <c r="BB52" s="51"/>
      <c r="BC52" s="51"/>
      <c r="BD52" s="51"/>
      <c r="BE52" s="51"/>
      <c r="BF52" s="51"/>
    </row>
    <row r="53" spans="1:58" s="43" customFormat="1" ht="48" x14ac:dyDescent="0.2">
      <c r="A53" s="32">
        <f t="shared" si="6"/>
        <v>19</v>
      </c>
      <c r="B53" s="56" t="s">
        <v>155</v>
      </c>
      <c r="C53" s="32" t="s">
        <v>161</v>
      </c>
      <c r="D53" s="89" t="s">
        <v>156</v>
      </c>
      <c r="E53" s="105" t="s">
        <v>238</v>
      </c>
      <c r="F53" s="58" t="s">
        <v>160</v>
      </c>
      <c r="G53" s="56" t="s">
        <v>159</v>
      </c>
      <c r="H53" s="55">
        <v>5.2</v>
      </c>
      <c r="I53" s="77">
        <v>1.75</v>
      </c>
      <c r="J53" s="35">
        <f t="shared" si="7"/>
        <v>161042.70000000001</v>
      </c>
      <c r="K53" s="78">
        <f t="shared" si="8"/>
        <v>1</v>
      </c>
      <c r="L53" s="60"/>
      <c r="M53" s="60"/>
      <c r="N53" s="60">
        <v>10</v>
      </c>
      <c r="O53" s="60">
        <v>6</v>
      </c>
      <c r="P53" s="79">
        <v>0.25</v>
      </c>
      <c r="Q53" s="80">
        <v>0.1</v>
      </c>
      <c r="R53" s="81">
        <f t="shared" si="5"/>
        <v>16</v>
      </c>
      <c r="S53" s="60"/>
      <c r="T53" s="81"/>
      <c r="U53" s="82"/>
      <c r="V53" s="82"/>
      <c r="W53" s="60"/>
      <c r="X53" s="82">
        <v>2</v>
      </c>
      <c r="Y53" s="82">
        <v>8</v>
      </c>
      <c r="Z53" s="60"/>
      <c r="AA53" s="82"/>
      <c r="AB53" s="82">
        <v>6</v>
      </c>
      <c r="AC53" s="60"/>
      <c r="AD53" s="81"/>
      <c r="AE53" s="60"/>
      <c r="AF53" s="59"/>
      <c r="AG53" s="59"/>
      <c r="AH53" s="59"/>
      <c r="AI53" s="59"/>
      <c r="AJ53" s="59"/>
      <c r="AK53" s="59"/>
      <c r="AL53" s="54"/>
      <c r="AM53" s="54"/>
      <c r="AN53" s="54">
        <v>0.35</v>
      </c>
      <c r="AO53" s="54"/>
      <c r="AP53" s="60"/>
      <c r="AQ53" s="54"/>
      <c r="AR53" s="54"/>
      <c r="AS53" s="54"/>
      <c r="AT53" s="54"/>
      <c r="AU53" s="54"/>
      <c r="AV53" s="61"/>
      <c r="AW53" s="51"/>
      <c r="AX53" s="51"/>
      <c r="AY53" s="51"/>
      <c r="AZ53" s="51"/>
      <c r="BA53" s="51"/>
      <c r="BB53" s="51"/>
      <c r="BC53" s="51"/>
      <c r="BD53" s="51"/>
      <c r="BE53" s="51"/>
      <c r="BF53" s="51"/>
    </row>
    <row r="54" spans="1:58" s="43" customFormat="1" ht="48" x14ac:dyDescent="0.2">
      <c r="A54" s="32">
        <f t="shared" si="6"/>
        <v>20</v>
      </c>
      <c r="B54" s="56" t="s">
        <v>155</v>
      </c>
      <c r="C54" s="32" t="s">
        <v>162</v>
      </c>
      <c r="D54" s="89" t="s">
        <v>156</v>
      </c>
      <c r="E54" s="105" t="s">
        <v>238</v>
      </c>
      <c r="F54" s="58" t="s">
        <v>163</v>
      </c>
      <c r="G54" s="56" t="s">
        <v>159</v>
      </c>
      <c r="H54" s="55">
        <v>5.2</v>
      </c>
      <c r="I54" s="77">
        <v>1.75</v>
      </c>
      <c r="J54" s="35">
        <f t="shared" si="7"/>
        <v>161042.70000000001</v>
      </c>
      <c r="K54" s="78">
        <f t="shared" si="8"/>
        <v>0</v>
      </c>
      <c r="L54" s="60"/>
      <c r="M54" s="60"/>
      <c r="N54" s="60"/>
      <c r="O54" s="60"/>
      <c r="P54" s="79">
        <v>0.25</v>
      </c>
      <c r="Q54" s="80">
        <v>0.1</v>
      </c>
      <c r="R54" s="81">
        <v>1</v>
      </c>
      <c r="S54" s="60">
        <v>1</v>
      </c>
      <c r="T54" s="81"/>
      <c r="U54" s="82"/>
      <c r="V54" s="82"/>
      <c r="W54" s="60"/>
      <c r="X54" s="82">
        <v>1</v>
      </c>
      <c r="Y54" s="82"/>
      <c r="Z54" s="60"/>
      <c r="AA54" s="82"/>
      <c r="AB54" s="82"/>
      <c r="AC54" s="60"/>
      <c r="AD54" s="81"/>
      <c r="AE54" s="60"/>
      <c r="AF54" s="59"/>
      <c r="AG54" s="59"/>
      <c r="AH54" s="59"/>
      <c r="AI54" s="59"/>
      <c r="AJ54" s="59"/>
      <c r="AK54" s="59"/>
      <c r="AL54" s="54"/>
      <c r="AM54" s="54"/>
      <c r="AN54" s="54">
        <v>0.35</v>
      </c>
      <c r="AO54" s="54"/>
      <c r="AP54" s="60"/>
      <c r="AQ54" s="54"/>
      <c r="AR54" s="54"/>
      <c r="AS54" s="54"/>
      <c r="AT54" s="54"/>
      <c r="AU54" s="54"/>
      <c r="AV54" s="61"/>
      <c r="AW54" s="51"/>
      <c r="AX54" s="51"/>
      <c r="AY54" s="51"/>
      <c r="AZ54" s="51"/>
      <c r="BA54" s="51"/>
      <c r="BB54" s="51"/>
      <c r="BC54" s="51"/>
      <c r="BD54" s="51"/>
      <c r="BE54" s="51"/>
      <c r="BF54" s="51"/>
    </row>
    <row r="55" spans="1:58" s="43" customFormat="1" ht="48" x14ac:dyDescent="0.2">
      <c r="A55" s="32">
        <f t="shared" si="6"/>
        <v>21</v>
      </c>
      <c r="B55" s="56" t="s">
        <v>164</v>
      </c>
      <c r="C55" s="32" t="s">
        <v>165</v>
      </c>
      <c r="D55" s="86" t="s">
        <v>166</v>
      </c>
      <c r="E55" s="103" t="s">
        <v>239</v>
      </c>
      <c r="F55" s="58" t="s">
        <v>167</v>
      </c>
      <c r="G55" s="56" t="s">
        <v>220</v>
      </c>
      <c r="H55" s="55">
        <v>5.2</v>
      </c>
      <c r="I55" s="77">
        <v>1.75</v>
      </c>
      <c r="J55" s="35">
        <f t="shared" si="7"/>
        <v>161042.70000000001</v>
      </c>
      <c r="K55" s="78">
        <f t="shared" si="8"/>
        <v>1.375</v>
      </c>
      <c r="L55" s="60"/>
      <c r="M55" s="60">
        <v>7</v>
      </c>
      <c r="N55" s="60">
        <v>12</v>
      </c>
      <c r="O55" s="60">
        <v>3</v>
      </c>
      <c r="P55" s="79">
        <v>0.25</v>
      </c>
      <c r="Q55" s="80">
        <v>0.1</v>
      </c>
      <c r="R55" s="81">
        <v>23</v>
      </c>
      <c r="S55" s="60">
        <v>1</v>
      </c>
      <c r="T55" s="81"/>
      <c r="U55" s="82"/>
      <c r="V55" s="82">
        <v>4</v>
      </c>
      <c r="W55" s="60">
        <v>4</v>
      </c>
      <c r="X55" s="82"/>
      <c r="Y55" s="82"/>
      <c r="Z55" s="60">
        <v>4</v>
      </c>
      <c r="AA55" s="82">
        <v>8</v>
      </c>
      <c r="AB55" s="82"/>
      <c r="AC55" s="60"/>
      <c r="AD55" s="81">
        <v>3</v>
      </c>
      <c r="AE55" s="60"/>
      <c r="AF55" s="59"/>
      <c r="AG55" s="59"/>
      <c r="AH55" s="59"/>
      <c r="AI55" s="59"/>
      <c r="AJ55" s="59"/>
      <c r="AK55" s="59"/>
      <c r="AL55" s="54"/>
      <c r="AM55" s="54"/>
      <c r="AN55" s="54">
        <v>0.35</v>
      </c>
      <c r="AO55" s="54"/>
      <c r="AP55" s="60"/>
      <c r="AQ55" s="54"/>
      <c r="AR55" s="54"/>
      <c r="AS55" s="54"/>
      <c r="AT55" s="54">
        <v>0.2</v>
      </c>
      <c r="AU55" s="54"/>
      <c r="AV55" s="61"/>
      <c r="AW55" s="51"/>
      <c r="AX55" s="51"/>
      <c r="AY55" s="51"/>
      <c r="AZ55" s="51"/>
      <c r="BA55" s="51"/>
      <c r="BB55" s="51"/>
      <c r="BC55" s="51"/>
      <c r="BD55" s="51"/>
      <c r="BE55" s="51"/>
      <c r="BF55" s="51"/>
    </row>
    <row r="56" spans="1:58" s="43" customFormat="1" ht="45" x14ac:dyDescent="0.2">
      <c r="A56" s="32">
        <f t="shared" si="6"/>
        <v>22</v>
      </c>
      <c r="B56" s="56" t="s">
        <v>169</v>
      </c>
      <c r="C56" s="32" t="s">
        <v>171</v>
      </c>
      <c r="D56" s="89" t="s">
        <v>170</v>
      </c>
      <c r="E56" s="104" t="s">
        <v>240</v>
      </c>
      <c r="F56" s="58" t="s">
        <v>99</v>
      </c>
      <c r="G56" s="56" t="s">
        <v>140</v>
      </c>
      <c r="H56" s="55">
        <v>4.2699999999999996</v>
      </c>
      <c r="I56" s="77">
        <v>1.75</v>
      </c>
      <c r="J56" s="35">
        <f t="shared" si="7"/>
        <v>132240.83249999999</v>
      </c>
      <c r="K56" s="78">
        <f t="shared" si="8"/>
        <v>1.375</v>
      </c>
      <c r="L56" s="60"/>
      <c r="M56" s="60"/>
      <c r="N56" s="60">
        <v>16</v>
      </c>
      <c r="O56" s="60">
        <v>6</v>
      </c>
      <c r="P56" s="79">
        <v>0.25</v>
      </c>
      <c r="Q56" s="80">
        <v>0.1</v>
      </c>
      <c r="R56" s="81">
        <f t="shared" si="5"/>
        <v>22</v>
      </c>
      <c r="S56" s="60"/>
      <c r="T56" s="81"/>
      <c r="U56" s="82"/>
      <c r="V56" s="82"/>
      <c r="W56" s="60"/>
      <c r="X56" s="82"/>
      <c r="Y56" s="82"/>
      <c r="Z56" s="60"/>
      <c r="AA56" s="82"/>
      <c r="AB56" s="82"/>
      <c r="AC56" s="60"/>
      <c r="AD56" s="81"/>
      <c r="AE56" s="60"/>
      <c r="AF56" s="59"/>
      <c r="AG56" s="59"/>
      <c r="AH56" s="59"/>
      <c r="AI56" s="59">
        <v>0.6</v>
      </c>
      <c r="AJ56" s="59"/>
      <c r="AK56" s="59"/>
      <c r="AL56" s="54"/>
      <c r="AM56" s="54"/>
      <c r="AN56" s="54"/>
      <c r="AO56" s="54"/>
      <c r="AP56" s="60"/>
      <c r="AQ56" s="54"/>
      <c r="AR56" s="54"/>
      <c r="AS56" s="54"/>
      <c r="AT56" s="54"/>
      <c r="AU56" s="54"/>
      <c r="AV56" s="61"/>
      <c r="AW56" s="51"/>
      <c r="AX56" s="51"/>
      <c r="AY56" s="51"/>
      <c r="AZ56" s="51"/>
      <c r="BA56" s="51"/>
      <c r="BB56" s="51"/>
      <c r="BC56" s="51"/>
      <c r="BD56" s="51"/>
      <c r="BE56" s="51"/>
      <c r="BF56" s="51"/>
    </row>
    <row r="57" spans="1:58" s="43" customFormat="1" ht="36" x14ac:dyDescent="0.2">
      <c r="A57" s="32">
        <f t="shared" si="6"/>
        <v>23</v>
      </c>
      <c r="B57" s="56" t="s">
        <v>169</v>
      </c>
      <c r="C57" s="56" t="s">
        <v>172</v>
      </c>
      <c r="D57" s="89" t="s">
        <v>173</v>
      </c>
      <c r="E57" s="104" t="s">
        <v>240</v>
      </c>
      <c r="F57" s="58" t="s">
        <v>174</v>
      </c>
      <c r="G57" s="56" t="s">
        <v>175</v>
      </c>
      <c r="H57" s="55">
        <v>4.66</v>
      </c>
      <c r="I57" s="77">
        <v>1.75</v>
      </c>
      <c r="J57" s="35">
        <f t="shared" si="7"/>
        <v>144319.035</v>
      </c>
      <c r="K57" s="78">
        <f t="shared" si="8"/>
        <v>0</v>
      </c>
      <c r="L57" s="60"/>
      <c r="M57" s="60"/>
      <c r="N57" s="60"/>
      <c r="O57" s="60"/>
      <c r="P57" s="79">
        <v>0.25</v>
      </c>
      <c r="Q57" s="80">
        <v>0.1</v>
      </c>
      <c r="R57" s="101">
        <v>1</v>
      </c>
      <c r="S57" s="60">
        <v>1</v>
      </c>
      <c r="T57" s="81"/>
      <c r="U57" s="82"/>
      <c r="V57" s="82"/>
      <c r="W57" s="60"/>
      <c r="X57" s="82"/>
      <c r="Y57" s="82"/>
      <c r="Z57" s="60"/>
      <c r="AA57" s="82"/>
      <c r="AB57" s="82"/>
      <c r="AC57" s="60"/>
      <c r="AD57" s="81"/>
      <c r="AE57" s="60"/>
      <c r="AF57" s="59"/>
      <c r="AG57" s="59"/>
      <c r="AH57" s="59"/>
      <c r="AI57" s="59"/>
      <c r="AJ57" s="59"/>
      <c r="AK57" s="59"/>
      <c r="AL57" s="54"/>
      <c r="AM57" s="54"/>
      <c r="AN57" s="54"/>
      <c r="AO57" s="54"/>
      <c r="AP57" s="60">
        <v>10</v>
      </c>
      <c r="AQ57" s="54"/>
      <c r="AR57" s="54"/>
      <c r="AS57" s="54"/>
      <c r="AT57" s="54"/>
      <c r="AU57" s="54"/>
      <c r="AV57" s="61"/>
      <c r="AW57" s="51"/>
      <c r="AX57" s="51"/>
      <c r="AY57" s="51"/>
      <c r="AZ57" s="51"/>
      <c r="BA57" s="51"/>
      <c r="BB57" s="51"/>
      <c r="BC57" s="51"/>
      <c r="BD57" s="51"/>
      <c r="BE57" s="51"/>
      <c r="BF57" s="51"/>
    </row>
    <row r="58" spans="1:58" s="43" customFormat="1" ht="48" x14ac:dyDescent="0.2">
      <c r="A58" s="32">
        <f t="shared" si="6"/>
        <v>24</v>
      </c>
      <c r="B58" s="56" t="s">
        <v>176</v>
      </c>
      <c r="C58" s="32" t="s">
        <v>114</v>
      </c>
      <c r="D58" s="57" t="s">
        <v>177</v>
      </c>
      <c r="E58" s="105" t="s">
        <v>241</v>
      </c>
      <c r="F58" s="58" t="s">
        <v>198</v>
      </c>
      <c r="G58" s="56" t="s">
        <v>168</v>
      </c>
      <c r="H58" s="55">
        <v>5.12</v>
      </c>
      <c r="I58" s="77">
        <v>1.75</v>
      </c>
      <c r="J58" s="35">
        <f t="shared" si="7"/>
        <v>158565.12</v>
      </c>
      <c r="K58" s="78">
        <f t="shared" si="8"/>
        <v>1</v>
      </c>
      <c r="L58" s="60"/>
      <c r="M58" s="60">
        <v>16</v>
      </c>
      <c r="N58" s="60"/>
      <c r="O58" s="60"/>
      <c r="P58" s="79">
        <v>0.25</v>
      </c>
      <c r="Q58" s="80">
        <v>0.1</v>
      </c>
      <c r="R58" s="81">
        <f t="shared" si="5"/>
        <v>16</v>
      </c>
      <c r="S58" s="60"/>
      <c r="T58" s="81">
        <v>16</v>
      </c>
      <c r="U58" s="82"/>
      <c r="V58" s="82"/>
      <c r="W58" s="60"/>
      <c r="X58" s="82"/>
      <c r="Y58" s="82"/>
      <c r="Z58" s="60"/>
      <c r="AA58" s="82"/>
      <c r="AB58" s="82"/>
      <c r="AC58" s="60"/>
      <c r="AD58" s="81"/>
      <c r="AE58" s="60"/>
      <c r="AF58" s="59">
        <v>0.25</v>
      </c>
      <c r="AG58" s="59"/>
      <c r="AH58" s="59"/>
      <c r="AI58" s="59"/>
      <c r="AJ58" s="59"/>
      <c r="AK58" s="59"/>
      <c r="AL58" s="54"/>
      <c r="AM58" s="54"/>
      <c r="AN58" s="54">
        <v>0.35</v>
      </c>
      <c r="AO58" s="54"/>
      <c r="AP58" s="60"/>
      <c r="AQ58" s="54"/>
      <c r="AR58" s="54"/>
      <c r="AS58" s="54"/>
      <c r="AT58" s="54">
        <v>0.2</v>
      </c>
      <c r="AU58" s="54"/>
      <c r="AV58" s="61"/>
      <c r="AW58" s="51"/>
      <c r="AX58" s="51"/>
      <c r="AY58" s="51"/>
      <c r="AZ58" s="51"/>
      <c r="BA58" s="51"/>
      <c r="BB58" s="51"/>
      <c r="BC58" s="51"/>
      <c r="BD58" s="51"/>
      <c r="BE58" s="51"/>
      <c r="BF58" s="51"/>
    </row>
    <row r="59" spans="1:58" s="43" customFormat="1" ht="36" x14ac:dyDescent="0.2">
      <c r="A59" s="32">
        <f t="shared" si="6"/>
        <v>25</v>
      </c>
      <c r="B59" s="56" t="s">
        <v>176</v>
      </c>
      <c r="C59" s="32" t="s">
        <v>213</v>
      </c>
      <c r="D59" s="57" t="s">
        <v>177</v>
      </c>
      <c r="E59" s="105" t="s">
        <v>241</v>
      </c>
      <c r="F59" s="58" t="s">
        <v>99</v>
      </c>
      <c r="G59" s="56" t="s">
        <v>208</v>
      </c>
      <c r="H59" s="55">
        <v>4.67</v>
      </c>
      <c r="I59" s="77">
        <v>1.75</v>
      </c>
      <c r="J59" s="35">
        <f t="shared" si="7"/>
        <v>144628.73249999998</v>
      </c>
      <c r="K59" s="78">
        <f t="shared" si="8"/>
        <v>0.1875</v>
      </c>
      <c r="L59" s="60"/>
      <c r="M59" s="60"/>
      <c r="N59" s="60">
        <v>1</v>
      </c>
      <c r="O59" s="60">
        <v>2</v>
      </c>
      <c r="P59" s="79">
        <v>0.25</v>
      </c>
      <c r="Q59" s="80">
        <v>0.1</v>
      </c>
      <c r="R59" s="82">
        <f t="shared" si="5"/>
        <v>3</v>
      </c>
      <c r="S59" s="60"/>
      <c r="T59" s="81"/>
      <c r="U59" s="82"/>
      <c r="V59" s="82"/>
      <c r="W59" s="60"/>
      <c r="X59" s="82"/>
      <c r="Y59" s="82"/>
      <c r="Z59" s="60"/>
      <c r="AA59" s="82"/>
      <c r="AB59" s="82"/>
      <c r="AC59" s="60"/>
      <c r="AD59" s="81"/>
      <c r="AE59" s="60"/>
      <c r="AF59" s="59"/>
      <c r="AG59" s="59"/>
      <c r="AH59" s="59"/>
      <c r="AI59" s="59"/>
      <c r="AJ59" s="59"/>
      <c r="AK59" s="59"/>
      <c r="AL59" s="54"/>
      <c r="AM59" s="54"/>
      <c r="AN59" s="54"/>
      <c r="AO59" s="54"/>
      <c r="AP59" s="60"/>
      <c r="AQ59" s="54"/>
      <c r="AR59" s="54"/>
      <c r="AS59" s="54"/>
      <c r="AT59" s="54"/>
      <c r="AU59" s="54"/>
      <c r="AV59" s="61"/>
      <c r="AW59" s="51"/>
      <c r="AX59" s="51"/>
      <c r="AY59" s="51"/>
      <c r="AZ59" s="51"/>
      <c r="BA59" s="51"/>
      <c r="BB59" s="51"/>
      <c r="BC59" s="51"/>
      <c r="BD59" s="51"/>
      <c r="BE59" s="51"/>
      <c r="BF59" s="51"/>
    </row>
    <row r="60" spans="1:58" s="43" customFormat="1" ht="48" x14ac:dyDescent="0.2">
      <c r="A60" s="32">
        <f t="shared" si="6"/>
        <v>26</v>
      </c>
      <c r="B60" s="56" t="s">
        <v>178</v>
      </c>
      <c r="C60" s="32" t="s">
        <v>165</v>
      </c>
      <c r="D60" s="57" t="s">
        <v>179</v>
      </c>
      <c r="E60" s="104" t="s">
        <v>242</v>
      </c>
      <c r="F60" s="58" t="s">
        <v>210</v>
      </c>
      <c r="G60" s="56" t="s">
        <v>209</v>
      </c>
      <c r="H60" s="55">
        <v>4.99</v>
      </c>
      <c r="I60" s="77">
        <v>1.75</v>
      </c>
      <c r="J60" s="35">
        <f t="shared" si="7"/>
        <v>154539.05250000002</v>
      </c>
      <c r="K60" s="78">
        <f t="shared" si="8"/>
        <v>1.0833333333333333</v>
      </c>
      <c r="L60" s="1">
        <v>2</v>
      </c>
      <c r="M60" s="60">
        <v>5</v>
      </c>
      <c r="N60" s="60">
        <v>8</v>
      </c>
      <c r="O60" s="60">
        <v>3</v>
      </c>
      <c r="P60" s="79">
        <v>0.25</v>
      </c>
      <c r="Q60" s="80">
        <v>0.1</v>
      </c>
      <c r="R60" s="101">
        <v>17</v>
      </c>
      <c r="S60" s="60">
        <v>1</v>
      </c>
      <c r="T60" s="81"/>
      <c r="U60" s="82"/>
      <c r="V60" s="82">
        <v>5</v>
      </c>
      <c r="W60" s="60"/>
      <c r="X60" s="82"/>
      <c r="Y60" s="82"/>
      <c r="Z60" s="60">
        <v>1</v>
      </c>
      <c r="AA60" s="82">
        <v>8</v>
      </c>
      <c r="AB60" s="82"/>
      <c r="AC60" s="60"/>
      <c r="AD60" s="81">
        <v>3</v>
      </c>
      <c r="AE60" s="60"/>
      <c r="AF60" s="59"/>
      <c r="AG60" s="59"/>
      <c r="AH60" s="59"/>
      <c r="AI60" s="59"/>
      <c r="AJ60" s="59"/>
      <c r="AK60" s="59"/>
      <c r="AL60" s="54"/>
      <c r="AM60" s="54"/>
      <c r="AN60" s="54"/>
      <c r="AO60" s="54">
        <v>0.3</v>
      </c>
      <c r="AP60" s="60"/>
      <c r="AQ60" s="54"/>
      <c r="AR60" s="54"/>
      <c r="AS60" s="54"/>
      <c r="AT60" s="54">
        <v>0.2</v>
      </c>
      <c r="AU60" s="54"/>
      <c r="AV60" s="61"/>
      <c r="AW60" s="51"/>
      <c r="AX60" s="51"/>
      <c r="AY60" s="51"/>
      <c r="AZ60" s="51"/>
      <c r="BA60" s="51"/>
      <c r="BB60" s="51"/>
      <c r="BC60" s="51"/>
      <c r="BD60" s="51"/>
      <c r="BE60" s="51"/>
      <c r="BF60" s="51"/>
    </row>
    <row r="61" spans="1:58" s="43" customFormat="1" ht="36" x14ac:dyDescent="0.2">
      <c r="A61" s="32">
        <f>A60+1</f>
        <v>27</v>
      </c>
      <c r="B61" s="56" t="s">
        <v>180</v>
      </c>
      <c r="C61" s="32"/>
      <c r="D61" s="57" t="s">
        <v>181</v>
      </c>
      <c r="E61" s="106" t="s">
        <v>243</v>
      </c>
      <c r="F61" s="58" t="s">
        <v>182</v>
      </c>
      <c r="G61" s="56" t="s">
        <v>103</v>
      </c>
      <c r="H61" s="55">
        <v>5.03</v>
      </c>
      <c r="I61" s="77">
        <v>1.75</v>
      </c>
      <c r="J61" s="35">
        <f t="shared" si="7"/>
        <v>155777.8425</v>
      </c>
      <c r="K61" s="78">
        <f t="shared" si="8"/>
        <v>1.25</v>
      </c>
      <c r="L61" s="60"/>
      <c r="M61" s="60"/>
      <c r="N61" s="60">
        <v>10</v>
      </c>
      <c r="O61" s="60">
        <v>10</v>
      </c>
      <c r="P61" s="79">
        <v>0.25</v>
      </c>
      <c r="Q61" s="80">
        <v>0.1</v>
      </c>
      <c r="R61" s="81">
        <f t="shared" si="5"/>
        <v>20</v>
      </c>
      <c r="S61" s="60"/>
      <c r="T61" s="81"/>
      <c r="U61" s="82"/>
      <c r="V61" s="82"/>
      <c r="W61" s="60"/>
      <c r="X61" s="82">
        <v>5</v>
      </c>
      <c r="Y61" s="82">
        <v>5</v>
      </c>
      <c r="Z61" s="60"/>
      <c r="AA61" s="82"/>
      <c r="AB61" s="82">
        <v>10</v>
      </c>
      <c r="AC61" s="60"/>
      <c r="AD61" s="81"/>
      <c r="AE61" s="60"/>
      <c r="AF61" s="59"/>
      <c r="AG61" s="59"/>
      <c r="AH61" s="59"/>
      <c r="AI61" s="59">
        <v>0.6</v>
      </c>
      <c r="AJ61" s="59"/>
      <c r="AK61" s="59"/>
      <c r="AL61" s="54"/>
      <c r="AM61" s="54"/>
      <c r="AN61" s="54"/>
      <c r="AO61" s="54"/>
      <c r="AP61" s="60"/>
      <c r="AQ61" s="54"/>
      <c r="AR61" s="54"/>
      <c r="AS61" s="54"/>
      <c r="AT61" s="54">
        <v>0.2</v>
      </c>
      <c r="AU61" s="54"/>
      <c r="AV61" s="61"/>
      <c r="AW61" s="51"/>
      <c r="AX61" s="51"/>
      <c r="AY61" s="51"/>
      <c r="AZ61" s="51"/>
      <c r="BA61" s="51"/>
      <c r="BB61" s="51"/>
      <c r="BC61" s="51"/>
      <c r="BD61" s="51"/>
      <c r="BE61" s="51"/>
      <c r="BF61" s="51"/>
    </row>
    <row r="62" spans="1:58" s="43" customFormat="1" ht="36" x14ac:dyDescent="0.2">
      <c r="A62" s="32">
        <f t="shared" si="6"/>
        <v>28</v>
      </c>
      <c r="B62" s="56" t="s">
        <v>180</v>
      </c>
      <c r="C62" s="32" t="s">
        <v>126</v>
      </c>
      <c r="D62" s="57" t="s">
        <v>181</v>
      </c>
      <c r="E62" s="106" t="s">
        <v>243</v>
      </c>
      <c r="F62" s="58" t="s">
        <v>183</v>
      </c>
      <c r="G62" s="56" t="s">
        <v>103</v>
      </c>
      <c r="H62" s="55">
        <v>5.03</v>
      </c>
      <c r="I62" s="77">
        <v>1.75</v>
      </c>
      <c r="J62" s="35">
        <f t="shared" si="7"/>
        <v>155777.8425</v>
      </c>
      <c r="K62" s="78">
        <f t="shared" si="8"/>
        <v>0</v>
      </c>
      <c r="L62" s="60"/>
      <c r="M62" s="60"/>
      <c r="N62" s="60"/>
      <c r="O62" s="60"/>
      <c r="P62" s="79">
        <v>0.25</v>
      </c>
      <c r="Q62" s="80">
        <v>0.1</v>
      </c>
      <c r="R62" s="81">
        <v>2</v>
      </c>
      <c r="S62" s="60">
        <v>2</v>
      </c>
      <c r="T62" s="81"/>
      <c r="U62" s="82"/>
      <c r="V62" s="82"/>
      <c r="W62" s="60"/>
      <c r="X62" s="82">
        <v>2</v>
      </c>
      <c r="Y62" s="82"/>
      <c r="Z62" s="60"/>
      <c r="AA62" s="82"/>
      <c r="AB62" s="82"/>
      <c r="AC62" s="60"/>
      <c r="AD62" s="81"/>
      <c r="AE62" s="60"/>
      <c r="AF62" s="59"/>
      <c r="AG62" s="59"/>
      <c r="AH62" s="59"/>
      <c r="AI62" s="59"/>
      <c r="AJ62" s="59"/>
      <c r="AK62" s="59"/>
      <c r="AL62" s="54"/>
      <c r="AM62" s="54"/>
      <c r="AN62" s="54"/>
      <c r="AO62" s="54"/>
      <c r="AP62" s="60"/>
      <c r="AQ62" s="54"/>
      <c r="AR62" s="54"/>
      <c r="AS62" s="54"/>
      <c r="AT62" s="54"/>
      <c r="AU62" s="54"/>
      <c r="AV62" s="61"/>
      <c r="AW62" s="51"/>
      <c r="AX62" s="51"/>
      <c r="AY62" s="51"/>
      <c r="AZ62" s="51"/>
      <c r="BA62" s="51"/>
      <c r="BB62" s="51"/>
      <c r="BC62" s="51"/>
      <c r="BD62" s="51"/>
      <c r="BE62" s="51"/>
      <c r="BF62" s="51"/>
    </row>
    <row r="63" spans="1:58" s="43" customFormat="1" ht="24" x14ac:dyDescent="0.2">
      <c r="A63" s="32">
        <f t="shared" si="6"/>
        <v>29</v>
      </c>
      <c r="B63" s="56" t="s">
        <v>184</v>
      </c>
      <c r="C63" s="56" t="s">
        <v>186</v>
      </c>
      <c r="D63" s="56" t="s">
        <v>185</v>
      </c>
      <c r="E63" s="104" t="s">
        <v>244</v>
      </c>
      <c r="F63" s="110" t="s">
        <v>99</v>
      </c>
      <c r="G63" s="107" t="s">
        <v>245</v>
      </c>
      <c r="H63" s="108">
        <v>3.53</v>
      </c>
      <c r="I63" s="77">
        <v>1.75</v>
      </c>
      <c r="J63" s="35">
        <f t="shared" si="7"/>
        <v>109323.2175</v>
      </c>
      <c r="K63" s="78">
        <f t="shared" si="8"/>
        <v>0.66666666666666663</v>
      </c>
      <c r="L63" s="60">
        <v>16</v>
      </c>
      <c r="M63" s="60"/>
      <c r="N63" s="60"/>
      <c r="O63" s="60"/>
      <c r="P63" s="79">
        <v>0.25</v>
      </c>
      <c r="Q63" s="80">
        <v>0.1</v>
      </c>
      <c r="R63" s="81">
        <f t="shared" si="5"/>
        <v>0</v>
      </c>
      <c r="S63" s="60"/>
      <c r="T63" s="81"/>
      <c r="U63" s="82"/>
      <c r="V63" s="82"/>
      <c r="W63" s="60"/>
      <c r="X63" s="82"/>
      <c r="Y63" s="82"/>
      <c r="Z63" s="60"/>
      <c r="AA63" s="82"/>
      <c r="AB63" s="82"/>
      <c r="AC63" s="60"/>
      <c r="AD63" s="81"/>
      <c r="AE63" s="60"/>
      <c r="AF63" s="59"/>
      <c r="AG63" s="59"/>
      <c r="AH63" s="59"/>
      <c r="AI63" s="59"/>
      <c r="AJ63" s="59"/>
      <c r="AK63" s="59"/>
      <c r="AL63" s="54"/>
      <c r="AM63" s="54"/>
      <c r="AN63" s="54"/>
      <c r="AO63" s="54"/>
      <c r="AP63" s="60"/>
      <c r="AQ63" s="54"/>
      <c r="AR63" s="54"/>
      <c r="AS63" s="54"/>
      <c r="AT63" s="54">
        <v>0.2</v>
      </c>
      <c r="AU63" s="54"/>
      <c r="AV63" s="61"/>
      <c r="AW63" s="51"/>
      <c r="AX63" s="51"/>
      <c r="AY63" s="51"/>
      <c r="AZ63" s="51"/>
      <c r="BA63" s="51"/>
      <c r="BB63" s="51"/>
      <c r="BC63" s="51"/>
      <c r="BD63" s="51"/>
      <c r="BE63" s="51"/>
      <c r="BF63" s="51"/>
    </row>
    <row r="64" spans="1:58" s="43" customFormat="1" ht="36" x14ac:dyDescent="0.2">
      <c r="A64" s="32">
        <f t="shared" si="6"/>
        <v>30</v>
      </c>
      <c r="B64" s="57" t="s">
        <v>187</v>
      </c>
      <c r="C64" s="32" t="s">
        <v>212</v>
      </c>
      <c r="D64" s="57" t="s">
        <v>188</v>
      </c>
      <c r="E64" s="104" t="s">
        <v>224</v>
      </c>
      <c r="F64" s="113" t="s">
        <v>189</v>
      </c>
      <c r="G64" s="111" t="s">
        <v>120</v>
      </c>
      <c r="H64" s="112">
        <v>4.99</v>
      </c>
      <c r="I64" s="77">
        <v>1.75</v>
      </c>
      <c r="J64" s="35">
        <f t="shared" si="7"/>
        <v>154539.05250000002</v>
      </c>
      <c r="K64" s="78">
        <f t="shared" si="8"/>
        <v>0</v>
      </c>
      <c r="L64" s="60"/>
      <c r="M64" s="60"/>
      <c r="N64" s="60"/>
      <c r="O64" s="60"/>
      <c r="P64" s="79">
        <v>0.25</v>
      </c>
      <c r="Q64" s="80">
        <v>0.1</v>
      </c>
      <c r="R64" s="81">
        <v>2</v>
      </c>
      <c r="S64" s="60">
        <v>2</v>
      </c>
      <c r="T64" s="81"/>
      <c r="U64" s="82"/>
      <c r="V64" s="82"/>
      <c r="W64" s="60"/>
      <c r="X64" s="82"/>
      <c r="Y64" s="82"/>
      <c r="Z64" s="60"/>
      <c r="AA64" s="82"/>
      <c r="AB64" s="82"/>
      <c r="AC64" s="60"/>
      <c r="AD64" s="81"/>
      <c r="AE64" s="60"/>
      <c r="AF64" s="59"/>
      <c r="AG64" s="59"/>
      <c r="AH64" s="59"/>
      <c r="AI64" s="59"/>
      <c r="AJ64" s="59"/>
      <c r="AK64" s="59"/>
      <c r="AL64" s="54"/>
      <c r="AM64" s="54"/>
      <c r="AN64" s="54"/>
      <c r="AO64" s="54"/>
      <c r="AP64" s="60"/>
      <c r="AQ64" s="54"/>
      <c r="AR64" s="54"/>
      <c r="AS64" s="54"/>
      <c r="AT64" s="54"/>
      <c r="AU64" s="54"/>
      <c r="AV64" s="61"/>
      <c r="AW64" s="51"/>
      <c r="AX64" s="51"/>
      <c r="AY64" s="51"/>
      <c r="AZ64" s="51"/>
      <c r="BA64" s="51"/>
      <c r="BB64" s="51"/>
      <c r="BC64" s="51"/>
      <c r="BD64" s="51"/>
      <c r="BE64" s="51"/>
      <c r="BF64" s="51"/>
    </row>
    <row r="65" spans="1:58" s="43" customFormat="1" ht="36" x14ac:dyDescent="0.2">
      <c r="A65" s="32">
        <f t="shared" si="6"/>
        <v>31</v>
      </c>
      <c r="B65" s="56" t="s">
        <v>190</v>
      </c>
      <c r="C65" s="32" t="s">
        <v>191</v>
      </c>
      <c r="D65" s="56" t="s">
        <v>185</v>
      </c>
      <c r="E65" s="103" t="s">
        <v>246</v>
      </c>
      <c r="F65" s="58" t="s">
        <v>99</v>
      </c>
      <c r="G65" s="56" t="s">
        <v>192</v>
      </c>
      <c r="H65" s="55">
        <v>3.73</v>
      </c>
      <c r="I65" s="77">
        <v>1.75</v>
      </c>
      <c r="J65" s="35">
        <f t="shared" si="7"/>
        <v>115517.1675</v>
      </c>
      <c r="K65" s="78">
        <f t="shared" si="8"/>
        <v>0</v>
      </c>
      <c r="L65" s="60"/>
      <c r="M65" s="60"/>
      <c r="N65" s="60"/>
      <c r="O65" s="60"/>
      <c r="P65" s="79">
        <v>0.25</v>
      </c>
      <c r="Q65" s="80">
        <v>0.1</v>
      </c>
      <c r="R65" s="81">
        <v>7</v>
      </c>
      <c r="S65" s="60">
        <v>7</v>
      </c>
      <c r="T65" s="81">
        <v>7</v>
      </c>
      <c r="U65" s="82"/>
      <c r="V65" s="82"/>
      <c r="W65" s="60"/>
      <c r="X65" s="82"/>
      <c r="Y65" s="82"/>
      <c r="Z65" s="60"/>
      <c r="AA65" s="82"/>
      <c r="AB65" s="82"/>
      <c r="AC65" s="60"/>
      <c r="AD65" s="81"/>
      <c r="AE65" s="60"/>
      <c r="AF65" s="59"/>
      <c r="AG65" s="59"/>
      <c r="AH65" s="59"/>
      <c r="AI65" s="59"/>
      <c r="AJ65" s="59"/>
      <c r="AK65" s="59"/>
      <c r="AL65" s="54"/>
      <c r="AM65" s="54"/>
      <c r="AN65" s="54"/>
      <c r="AO65" s="54"/>
      <c r="AP65" s="60"/>
      <c r="AQ65" s="54"/>
      <c r="AR65" s="54"/>
      <c r="AS65" s="54"/>
      <c r="AT65" s="54"/>
      <c r="AU65" s="54"/>
      <c r="AV65" s="61"/>
      <c r="AW65" s="51"/>
      <c r="AX65" s="51"/>
      <c r="AY65" s="51"/>
      <c r="AZ65" s="51"/>
      <c r="BA65" s="51"/>
      <c r="BB65" s="51"/>
      <c r="BC65" s="51"/>
      <c r="BD65" s="51"/>
      <c r="BE65" s="51"/>
      <c r="BF65" s="51"/>
    </row>
    <row r="66" spans="1:58" s="43" customFormat="1" ht="48" x14ac:dyDescent="0.2">
      <c r="A66" s="32">
        <f t="shared" si="6"/>
        <v>32</v>
      </c>
      <c r="B66" s="56" t="s">
        <v>193</v>
      </c>
      <c r="C66" s="32" t="s">
        <v>195</v>
      </c>
      <c r="D66" s="57" t="s">
        <v>194</v>
      </c>
      <c r="E66" s="104" t="s">
        <v>247</v>
      </c>
      <c r="F66" s="58" t="s">
        <v>99</v>
      </c>
      <c r="G66" s="56" t="s">
        <v>196</v>
      </c>
      <c r="H66" s="55">
        <v>3.45</v>
      </c>
      <c r="I66" s="77">
        <v>1.75</v>
      </c>
      <c r="J66" s="35">
        <f t="shared" si="7"/>
        <v>106845.63750000001</v>
      </c>
      <c r="K66" s="78">
        <f t="shared" si="8"/>
        <v>0.45833333333333331</v>
      </c>
      <c r="L66" s="60">
        <v>2</v>
      </c>
      <c r="M66" s="60">
        <v>4</v>
      </c>
      <c r="N66" s="60">
        <v>2</v>
      </c>
      <c r="O66" s="60"/>
      <c r="P66" s="79">
        <v>0.25</v>
      </c>
      <c r="Q66" s="80">
        <v>0.1</v>
      </c>
      <c r="R66" s="81">
        <f t="shared" si="5"/>
        <v>6</v>
      </c>
      <c r="S66" s="60"/>
      <c r="T66" s="81"/>
      <c r="U66" s="82"/>
      <c r="V66" s="82"/>
      <c r="W66" s="60"/>
      <c r="X66" s="82"/>
      <c r="Y66" s="82"/>
      <c r="Z66" s="60"/>
      <c r="AA66" s="82"/>
      <c r="AB66" s="82"/>
      <c r="AC66" s="60"/>
      <c r="AD66" s="81"/>
      <c r="AE66" s="60"/>
      <c r="AF66" s="59"/>
      <c r="AG66" s="59"/>
      <c r="AH66" s="59"/>
      <c r="AI66" s="59"/>
      <c r="AJ66" s="59"/>
      <c r="AK66" s="59"/>
      <c r="AL66" s="54"/>
      <c r="AM66" s="54"/>
      <c r="AN66" s="54"/>
      <c r="AO66" s="54"/>
      <c r="AP66" s="60"/>
      <c r="AQ66" s="54"/>
      <c r="AR66" s="54"/>
      <c r="AS66" s="54"/>
      <c r="AT66" s="54"/>
      <c r="AU66" s="54"/>
      <c r="AV66" s="61"/>
      <c r="AW66" s="51"/>
      <c r="AX66" s="51"/>
      <c r="AY66" s="51"/>
      <c r="AZ66" s="51"/>
      <c r="BA66" s="51"/>
      <c r="BB66" s="51"/>
      <c r="BC66" s="51"/>
      <c r="BD66" s="51"/>
      <c r="BE66" s="51"/>
      <c r="BF66" s="51"/>
    </row>
    <row r="67" spans="1:58" s="43" customFormat="1" ht="60" x14ac:dyDescent="0.2">
      <c r="A67" s="32">
        <v>34</v>
      </c>
      <c r="B67" s="56" t="s">
        <v>104</v>
      </c>
      <c r="C67" s="32" t="s">
        <v>215</v>
      </c>
      <c r="D67" s="57" t="s">
        <v>217</v>
      </c>
      <c r="E67" s="104" t="s">
        <v>225</v>
      </c>
      <c r="F67" s="99" t="s">
        <v>216</v>
      </c>
      <c r="G67" s="100" t="s">
        <v>218</v>
      </c>
      <c r="H67" s="55">
        <v>5.03</v>
      </c>
      <c r="I67" s="77">
        <v>1.75</v>
      </c>
      <c r="J67" s="35">
        <f t="shared" si="7"/>
        <v>155777.8425</v>
      </c>
      <c r="K67" s="78">
        <f t="shared" si="8"/>
        <v>0.125</v>
      </c>
      <c r="L67" s="60"/>
      <c r="M67" s="60"/>
      <c r="N67" s="60"/>
      <c r="O67" s="60">
        <v>2</v>
      </c>
      <c r="P67" s="79">
        <v>0.25</v>
      </c>
      <c r="Q67" s="80">
        <v>0.1</v>
      </c>
      <c r="R67" s="81">
        <f t="shared" ref="R67:R68" si="9">M67+N67+O67</f>
        <v>2</v>
      </c>
      <c r="S67" s="60"/>
      <c r="T67" s="81"/>
      <c r="U67" s="82"/>
      <c r="V67" s="82"/>
      <c r="W67" s="60"/>
      <c r="X67" s="82"/>
      <c r="Y67" s="82"/>
      <c r="Z67" s="60"/>
      <c r="AA67" s="82"/>
      <c r="AB67" s="82"/>
      <c r="AC67" s="60"/>
      <c r="AD67" s="81"/>
      <c r="AE67" s="60"/>
      <c r="AF67" s="59"/>
      <c r="AG67" s="59"/>
      <c r="AH67" s="59"/>
      <c r="AI67" s="59"/>
      <c r="AJ67" s="59"/>
      <c r="AK67" s="59"/>
      <c r="AL67" s="54"/>
      <c r="AM67" s="54"/>
      <c r="AN67" s="102">
        <v>0.35</v>
      </c>
      <c r="AO67" s="54"/>
      <c r="AP67" s="60"/>
      <c r="AQ67" s="54"/>
      <c r="AR67" s="54"/>
      <c r="AS67" s="54"/>
      <c r="AT67" s="54"/>
      <c r="AU67" s="54"/>
      <c r="AV67" s="61"/>
      <c r="AW67" s="51"/>
      <c r="AX67" s="51"/>
      <c r="AY67" s="51"/>
      <c r="AZ67" s="51"/>
      <c r="BA67" s="51"/>
      <c r="BB67" s="51"/>
      <c r="BC67" s="51"/>
      <c r="BD67" s="51"/>
      <c r="BE67" s="51"/>
      <c r="BF67" s="51"/>
    </row>
    <row r="68" spans="1:58" s="43" customFormat="1" ht="48" x14ac:dyDescent="0.2">
      <c r="A68" s="32">
        <v>34</v>
      </c>
      <c r="B68" s="56" t="s">
        <v>221</v>
      </c>
      <c r="C68" s="56" t="s">
        <v>134</v>
      </c>
      <c r="D68" s="57" t="s">
        <v>194</v>
      </c>
      <c r="E68" s="104" t="s">
        <v>247</v>
      </c>
      <c r="F68" s="58" t="s">
        <v>99</v>
      </c>
      <c r="G68" s="56" t="s">
        <v>196</v>
      </c>
      <c r="H68" s="55">
        <v>3.45</v>
      </c>
      <c r="I68" s="77">
        <v>1.75</v>
      </c>
      <c r="J68" s="35">
        <f t="shared" ref="J68" si="10">17697*I68*H68</f>
        <v>106845.63750000001</v>
      </c>
      <c r="K68" s="78">
        <f t="shared" ref="K68" si="11">((L68/24)+((M68+N68+O68)/16))</f>
        <v>0.4375</v>
      </c>
      <c r="L68" s="60"/>
      <c r="M68" s="60"/>
      <c r="N68" s="60">
        <v>7</v>
      </c>
      <c r="O68" s="60"/>
      <c r="P68" s="79">
        <v>0.25</v>
      </c>
      <c r="Q68" s="80">
        <v>0.1</v>
      </c>
      <c r="R68" s="81">
        <f t="shared" si="9"/>
        <v>7</v>
      </c>
      <c r="S68" s="60"/>
      <c r="T68" s="81"/>
      <c r="U68" s="82"/>
      <c r="V68" s="82"/>
      <c r="W68" s="60"/>
      <c r="X68" s="82"/>
      <c r="Y68" s="82"/>
      <c r="Z68" s="60"/>
      <c r="AA68" s="82"/>
      <c r="AB68" s="82"/>
      <c r="AC68" s="60"/>
      <c r="AD68" s="81"/>
      <c r="AE68" s="60"/>
      <c r="AF68" s="59"/>
      <c r="AG68" s="59"/>
      <c r="AH68" s="59"/>
      <c r="AI68" s="59"/>
      <c r="AJ68" s="59"/>
      <c r="AK68" s="59"/>
      <c r="AL68" s="54"/>
      <c r="AM68" s="54"/>
      <c r="AN68" s="102"/>
      <c r="AO68" s="54"/>
      <c r="AP68" s="60"/>
      <c r="AQ68" s="54"/>
      <c r="AR68" s="54"/>
      <c r="AS68" s="54"/>
      <c r="AT68" s="54"/>
      <c r="AU68" s="54"/>
      <c r="AV68" s="61"/>
      <c r="AW68" s="51"/>
      <c r="AX68" s="51"/>
      <c r="AY68" s="51"/>
      <c r="AZ68" s="51"/>
      <c r="BA68" s="51"/>
      <c r="BB68" s="51"/>
      <c r="BC68" s="51"/>
      <c r="BD68" s="51"/>
      <c r="BE68" s="51"/>
      <c r="BF68" s="51"/>
    </row>
    <row r="69" spans="1:58" x14ac:dyDescent="0.2">
      <c r="A69" s="19"/>
      <c r="B69" s="93"/>
      <c r="C69" s="93"/>
      <c r="D69" s="93"/>
      <c r="E69" s="94"/>
      <c r="F69" s="94"/>
      <c r="G69" s="94"/>
      <c r="H69" s="94"/>
      <c r="I69" s="94"/>
      <c r="J69" s="95">
        <f>SUM(J35:J68)</f>
        <v>4990155.8175000027</v>
      </c>
      <c r="K69" s="96">
        <f>SUM(K35:K68)</f>
        <v>21.239583333333332</v>
      </c>
      <c r="L69" s="97">
        <f>SUM(L35:L68)</f>
        <v>20</v>
      </c>
      <c r="M69" s="97">
        <f>SUM(M35:M68)</f>
        <v>97.5</v>
      </c>
      <c r="N69" s="97">
        <f>SUM(N35:N68)</f>
        <v>167</v>
      </c>
      <c r="O69" s="97">
        <f>SUM(O34:O68)</f>
        <v>66</v>
      </c>
      <c r="P69" s="97">
        <f>SUM(P34:P68)</f>
        <v>8.75</v>
      </c>
      <c r="Q69" s="97"/>
      <c r="R69" s="97">
        <f>SUM(R34:R68)</f>
        <v>348.5</v>
      </c>
      <c r="S69" s="97">
        <f t="shared" ref="S69:AS69" si="12">SUM(S35:S66)</f>
        <v>18</v>
      </c>
      <c r="T69" s="97">
        <f t="shared" si="12"/>
        <v>55</v>
      </c>
      <c r="U69" s="97">
        <f t="shared" si="12"/>
        <v>18</v>
      </c>
      <c r="V69" s="97">
        <f t="shared" si="12"/>
        <v>9</v>
      </c>
      <c r="W69" s="97">
        <f t="shared" si="12"/>
        <v>4</v>
      </c>
      <c r="X69" s="97">
        <f t="shared" si="12"/>
        <v>22</v>
      </c>
      <c r="Y69" s="97">
        <f t="shared" si="12"/>
        <v>42</v>
      </c>
      <c r="Z69" s="97">
        <f t="shared" si="12"/>
        <v>13</v>
      </c>
      <c r="AA69" s="97">
        <f t="shared" si="12"/>
        <v>36</v>
      </c>
      <c r="AB69" s="97">
        <f t="shared" si="12"/>
        <v>16</v>
      </c>
      <c r="AC69" s="97">
        <f t="shared" si="12"/>
        <v>0</v>
      </c>
      <c r="AD69" s="97">
        <f t="shared" si="12"/>
        <v>12</v>
      </c>
      <c r="AE69" s="97">
        <f t="shared" si="12"/>
        <v>0</v>
      </c>
      <c r="AF69" s="98">
        <f>SUM(AF35:AF66)</f>
        <v>0.75</v>
      </c>
      <c r="AG69" s="98">
        <f t="shared" si="12"/>
        <v>0.5</v>
      </c>
      <c r="AH69" s="98">
        <f t="shared" si="12"/>
        <v>0.3</v>
      </c>
      <c r="AI69" s="98">
        <f t="shared" si="12"/>
        <v>2.4</v>
      </c>
      <c r="AJ69" s="98">
        <f t="shared" si="12"/>
        <v>0</v>
      </c>
      <c r="AK69" s="98">
        <f t="shared" si="12"/>
        <v>0.6</v>
      </c>
      <c r="AL69" s="98">
        <f t="shared" si="12"/>
        <v>0</v>
      </c>
      <c r="AM69" s="98">
        <f t="shared" si="12"/>
        <v>0.8</v>
      </c>
      <c r="AN69" s="98">
        <f t="shared" si="12"/>
        <v>2.8000000000000003</v>
      </c>
      <c r="AO69" s="98">
        <f t="shared" si="12"/>
        <v>2.1</v>
      </c>
      <c r="AP69" s="97">
        <f t="shared" si="12"/>
        <v>20</v>
      </c>
      <c r="AQ69" s="98">
        <f t="shared" si="12"/>
        <v>0</v>
      </c>
      <c r="AR69" s="98">
        <f t="shared" si="12"/>
        <v>2</v>
      </c>
      <c r="AS69" s="98">
        <f t="shared" si="12"/>
        <v>1</v>
      </c>
      <c r="AT69" s="98"/>
      <c r="AU69" s="98"/>
      <c r="AV69" s="61"/>
    </row>
    <row r="70" spans="1:58" x14ac:dyDescent="0.2">
      <c r="A70" s="5"/>
      <c r="B70" s="3"/>
      <c r="C70" s="3"/>
      <c r="D70" s="3"/>
      <c r="E70" s="3"/>
      <c r="F70" s="3"/>
      <c r="G70" s="3"/>
      <c r="H70" s="3"/>
      <c r="I70" s="3"/>
      <c r="J70" s="3"/>
      <c r="K70" s="3"/>
      <c r="O70" s="4"/>
      <c r="P70" s="4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58" ht="26.25" customHeight="1" x14ac:dyDescent="0.2">
      <c r="A71"/>
      <c r="B71"/>
      <c r="C71" s="1"/>
      <c r="D71" s="29" t="s">
        <v>56</v>
      </c>
      <c r="E71" s="14"/>
      <c r="F71" s="13"/>
      <c r="G71" s="1"/>
      <c r="H71" s="140" t="s">
        <v>57</v>
      </c>
      <c r="I71" s="140"/>
      <c r="J71" s="15"/>
      <c r="K71" s="14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</row>
    <row r="72" spans="1:58" ht="11.25" customHeight="1" x14ac:dyDescent="0.25">
      <c r="A72"/>
      <c r="B72"/>
      <c r="C72" s="1"/>
      <c r="D72" s="29"/>
      <c r="E72" s="13"/>
      <c r="F72" s="13"/>
      <c r="G72" s="1"/>
      <c r="H72" s="16"/>
      <c r="I72" s="9"/>
      <c r="J72" s="1"/>
      <c r="K72" s="13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</row>
    <row r="73" spans="1:58" ht="25.5" customHeight="1" x14ac:dyDescent="0.2">
      <c r="A73"/>
      <c r="B73"/>
      <c r="C73" s="1"/>
      <c r="D73" s="29" t="s">
        <v>58</v>
      </c>
      <c r="E73" s="14"/>
      <c r="F73" s="13"/>
      <c r="G73" s="1"/>
      <c r="H73" s="140" t="s">
        <v>59</v>
      </c>
      <c r="I73" s="140"/>
      <c r="J73" s="15"/>
      <c r="K73" s="14"/>
      <c r="L73"/>
      <c r="M73"/>
      <c r="N73"/>
      <c r="O73"/>
      <c r="P73"/>
      <c r="Q73"/>
      <c r="R73"/>
      <c r="S73"/>
      <c r="U73" s="18"/>
      <c r="V73" s="18"/>
      <c r="W73" s="18"/>
      <c r="X73" s="18"/>
      <c r="Y73" s="18"/>
      <c r="Z73" s="18"/>
      <c r="AA73" s="18"/>
      <c r="AB73" s="18"/>
      <c r="AC73" s="18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</row>
    <row r="74" spans="1:58" ht="11.25" customHeight="1" x14ac:dyDescent="0.25">
      <c r="C74" s="1"/>
      <c r="D74" s="29"/>
      <c r="E74" s="13"/>
      <c r="F74" s="13"/>
      <c r="G74" s="1"/>
      <c r="H74" s="16"/>
      <c r="I74" s="9"/>
      <c r="J74" s="1"/>
      <c r="K74" s="13"/>
    </row>
    <row r="75" spans="1:58" ht="26.25" customHeight="1" x14ac:dyDescent="0.25">
      <c r="C75" s="1"/>
      <c r="D75" s="29" t="s">
        <v>85</v>
      </c>
      <c r="E75" s="17"/>
      <c r="F75" s="42"/>
      <c r="G75" s="1"/>
      <c r="H75" s="140" t="s">
        <v>60</v>
      </c>
      <c r="I75" s="140"/>
      <c r="J75" s="15"/>
      <c r="K75" s="14"/>
    </row>
  </sheetData>
  <mergeCells count="82">
    <mergeCell ref="C1:E1"/>
    <mergeCell ref="C16:H18"/>
    <mergeCell ref="M6:R6"/>
    <mergeCell ref="M7:R7"/>
    <mergeCell ref="M8:R8"/>
    <mergeCell ref="M9:R9"/>
    <mergeCell ref="M10:R10"/>
    <mergeCell ref="M12:R12"/>
    <mergeCell ref="M13:R13"/>
    <mergeCell ref="M16:R16"/>
    <mergeCell ref="M17:R17"/>
    <mergeCell ref="M18:R18"/>
    <mergeCell ref="M3:R3"/>
    <mergeCell ref="M4:R4"/>
    <mergeCell ref="M5:R5"/>
    <mergeCell ref="M11:R11"/>
    <mergeCell ref="I1:K1"/>
    <mergeCell ref="M1:R1"/>
    <mergeCell ref="M2:R2"/>
    <mergeCell ref="AV30:AV33"/>
    <mergeCell ref="H71:I71"/>
    <mergeCell ref="AS30:AS32"/>
    <mergeCell ref="AT30:AU30"/>
    <mergeCell ref="AT31:AT32"/>
    <mergeCell ref="AU31:AU32"/>
    <mergeCell ref="AD29:AI29"/>
    <mergeCell ref="AJ29:AK29"/>
    <mergeCell ref="AL29:AM29"/>
    <mergeCell ref="T29:AC29"/>
    <mergeCell ref="M19:R19"/>
    <mergeCell ref="M20:R20"/>
    <mergeCell ref="M14:R14"/>
    <mergeCell ref="AJ32:AK32"/>
    <mergeCell ref="AD32:AE32"/>
    <mergeCell ref="AR30:AR32"/>
    <mergeCell ref="AP30:AP32"/>
    <mergeCell ref="AQ30:AQ32"/>
    <mergeCell ref="AL30:AO30"/>
    <mergeCell ref="AL31:AL32"/>
    <mergeCell ref="AM31:AM32"/>
    <mergeCell ref="AN31:AN32"/>
    <mergeCell ref="AO31:AO32"/>
    <mergeCell ref="H75:I75"/>
    <mergeCell ref="AF30:AK30"/>
    <mergeCell ref="T31:W31"/>
    <mergeCell ref="X31:AA31"/>
    <mergeCell ref="AB31:AE31"/>
    <mergeCell ref="AF31:AG31"/>
    <mergeCell ref="AH31:AI31"/>
    <mergeCell ref="AJ31:AK31"/>
    <mergeCell ref="AF32:AG32"/>
    <mergeCell ref="AH32:AI32"/>
    <mergeCell ref="Z32:AA32"/>
    <mergeCell ref="T30:AE30"/>
    <mergeCell ref="X32:Y32"/>
    <mergeCell ref="V32:W32"/>
    <mergeCell ref="T32:U32"/>
    <mergeCell ref="H73:I73"/>
    <mergeCell ref="M15:R15"/>
    <mergeCell ref="R30:R32"/>
    <mergeCell ref="L31:O31"/>
    <mergeCell ref="M25:R25"/>
    <mergeCell ref="M21:R21"/>
    <mergeCell ref="M22:R22"/>
    <mergeCell ref="M23:R23"/>
    <mergeCell ref="M24:R24"/>
    <mergeCell ref="E30:E33"/>
    <mergeCell ref="AB32:AC32"/>
    <mergeCell ref="A30:A33"/>
    <mergeCell ref="B30:B33"/>
    <mergeCell ref="C30:C33"/>
    <mergeCell ref="D30:D33"/>
    <mergeCell ref="F30:F33"/>
    <mergeCell ref="L30:O30"/>
    <mergeCell ref="P30:P33"/>
    <mergeCell ref="Q30:Q33"/>
    <mergeCell ref="G30:G33"/>
    <mergeCell ref="H30:H33"/>
    <mergeCell ref="J30:J33"/>
    <mergeCell ref="K30:K33"/>
    <mergeCell ref="I30:I33"/>
    <mergeCell ref="S30:S32"/>
  </mergeCells>
  <phoneticPr fontId="16" type="noConversion"/>
  <pageMargins left="0.59055118110236227" right="0.39370078740157483" top="0.98425196850393704" bottom="0.39370078740157483" header="0" footer="0"/>
  <pageSetup paperSize="9" scale="36" fitToWidth="2" fitToHeight="2" orientation="landscape" r:id="rId1"/>
  <headerFooter>
    <oddFooter>&amp;R&amp;5Документ сформирован информационной системой «Фаворит» ©. Нур-Султан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W76"/>
  <sheetViews>
    <sheetView workbookViewId="0">
      <selection activeCell="AM20" sqref="AM20"/>
    </sheetView>
  </sheetViews>
  <sheetFormatPr defaultColWidth="8.83203125" defaultRowHeight="12.75" x14ac:dyDescent="0.2"/>
  <cols>
    <col min="1" max="1" width="3.33203125" customWidth="1"/>
    <col min="2" max="2" width="26.6640625" customWidth="1"/>
    <col min="3" max="3" width="28.6640625" customWidth="1"/>
    <col min="4" max="4" width="19.1640625" customWidth="1"/>
    <col min="5" max="6" width="10.5" customWidth="1"/>
    <col min="7" max="7" width="17.33203125" customWidth="1"/>
    <col min="8" max="9" width="10" customWidth="1"/>
    <col min="10" max="10" width="11.5" customWidth="1"/>
    <col min="11" max="11" width="9.6640625" customWidth="1"/>
    <col min="12" max="12" width="12.5" customWidth="1"/>
    <col min="13" max="13" width="12.83203125" customWidth="1"/>
    <col min="14" max="14" width="11.6640625" customWidth="1"/>
    <col min="15" max="15" width="10.5" customWidth="1"/>
    <col min="16" max="16" width="10.33203125" customWidth="1"/>
    <col min="17" max="17" width="12.6640625" customWidth="1"/>
    <col min="18" max="18" width="10.83203125" customWidth="1"/>
    <col min="19" max="19" width="13" customWidth="1"/>
    <col min="20" max="21" width="15.1640625" customWidth="1"/>
    <col min="22" max="22" width="8.83203125" customWidth="1"/>
    <col min="23" max="24" width="8" customWidth="1"/>
    <col min="25" max="25" width="11.33203125" customWidth="1"/>
    <col min="26" max="26" width="8.1640625" customWidth="1"/>
    <col min="27" max="27" width="9" customWidth="1"/>
    <col min="28" max="28" width="11.5" customWidth="1"/>
    <col min="29" max="29" width="9" customWidth="1"/>
    <col min="30" max="30" width="8" customWidth="1"/>
    <col min="31" max="31" width="13.6640625" customWidth="1"/>
    <col min="32" max="32" width="6.83203125" customWidth="1"/>
    <col min="33" max="33" width="12.1640625" customWidth="1"/>
    <col min="34" max="34" width="8.6640625" customWidth="1"/>
    <col min="35" max="35" width="12.1640625" customWidth="1"/>
    <col min="36" max="36" width="9.83203125" customWidth="1"/>
    <col min="37" max="37" width="11.33203125" customWidth="1"/>
    <col min="38" max="38" width="8.1640625" customWidth="1"/>
    <col min="39" max="39" width="16.5" customWidth="1"/>
    <col min="40" max="40" width="12.1640625" customWidth="1"/>
    <col min="41" max="41" width="11.5" customWidth="1"/>
    <col min="42" max="42" width="14" customWidth="1"/>
    <col min="43" max="43" width="14.5" customWidth="1"/>
    <col min="44" max="44" width="12.33203125" customWidth="1"/>
    <col min="45" max="45" width="8.6640625" customWidth="1"/>
    <col min="46" max="46" width="14.1640625" customWidth="1"/>
    <col min="47" max="47" width="15.33203125" customWidth="1"/>
    <col min="48" max="48" width="12.1640625" customWidth="1"/>
    <col min="49" max="49" width="12.83203125" customWidth="1"/>
    <col min="50" max="50" width="14.6640625" customWidth="1"/>
    <col min="51" max="51" width="15" customWidth="1"/>
    <col min="52" max="52" width="6.33203125" customWidth="1"/>
    <col min="53" max="53" width="12.5" customWidth="1"/>
    <col min="54" max="54" width="11.5" customWidth="1"/>
  </cols>
  <sheetData>
    <row r="1" spans="1:75" s="1" customFormat="1" ht="105" customHeight="1" x14ac:dyDescent="0.2">
      <c r="A1" s="2"/>
      <c r="B1" s="11"/>
      <c r="C1" s="166" t="s">
        <v>201</v>
      </c>
      <c r="D1" s="166"/>
      <c r="E1" s="177"/>
      <c r="F1" s="177"/>
      <c r="G1" s="177"/>
      <c r="M1" s="36"/>
      <c r="N1" s="36"/>
      <c r="O1" s="180" t="s">
        <v>219</v>
      </c>
      <c r="P1" s="180"/>
      <c r="Q1" s="180"/>
      <c r="R1" s="180"/>
      <c r="S1" s="36"/>
      <c r="T1" s="36"/>
      <c r="U1" s="30"/>
      <c r="V1" s="30"/>
      <c r="W1" s="31"/>
      <c r="X1" s="31"/>
      <c r="Y1" s="30"/>
      <c r="AO1" s="2"/>
      <c r="BT1" s="2"/>
      <c r="BU1" s="2"/>
      <c r="BV1" s="2"/>
    </row>
    <row r="2" spans="1:75" s="1" customFormat="1" x14ac:dyDescent="0.2">
      <c r="A2" s="2"/>
      <c r="B2"/>
      <c r="C2"/>
      <c r="D2"/>
      <c r="E2"/>
      <c r="F2"/>
      <c r="M2" s="172"/>
      <c r="N2" s="172"/>
      <c r="O2" s="172"/>
      <c r="P2" s="172"/>
      <c r="Q2" s="172"/>
      <c r="R2" s="172"/>
      <c r="S2" s="172"/>
      <c r="T2" s="172"/>
      <c r="AO2" s="2"/>
      <c r="BT2" s="2"/>
      <c r="BU2" s="2"/>
      <c r="BV2" s="2"/>
    </row>
    <row r="3" spans="1:75" s="1" customFormat="1" ht="12.75" customHeight="1" x14ac:dyDescent="0.2">
      <c r="A3" s="2"/>
      <c r="B3"/>
      <c r="E3" s="178" t="s">
        <v>3</v>
      </c>
      <c r="F3" s="178"/>
      <c r="G3" s="178"/>
      <c r="H3" s="178"/>
      <c r="I3" s="178"/>
      <c r="J3" s="178"/>
      <c r="K3" s="178"/>
      <c r="L3" s="178"/>
      <c r="M3" s="172"/>
      <c r="N3" s="172"/>
      <c r="O3" s="172"/>
      <c r="P3" s="172"/>
      <c r="Q3" s="172"/>
      <c r="R3" s="172"/>
      <c r="S3" s="172"/>
      <c r="T3" s="172"/>
      <c r="AO3" s="2"/>
      <c r="BT3" s="2"/>
      <c r="BU3" s="2"/>
      <c r="BV3" s="2"/>
    </row>
    <row r="4" spans="1:75" s="1" customFormat="1" ht="26.25" customHeight="1" x14ac:dyDescent="0.25">
      <c r="A4" s="2"/>
      <c r="B4"/>
      <c r="E4" s="179" t="s">
        <v>88</v>
      </c>
      <c r="F4" s="179"/>
      <c r="G4" s="179"/>
      <c r="H4" s="179"/>
      <c r="I4" s="179"/>
      <c r="J4" s="179"/>
      <c r="K4" s="179"/>
      <c r="L4" s="179"/>
      <c r="M4" s="172"/>
      <c r="N4" s="172"/>
      <c r="O4" s="172"/>
      <c r="P4" s="172"/>
      <c r="Q4" s="172"/>
      <c r="R4" s="172"/>
      <c r="S4" s="172"/>
      <c r="T4" s="172"/>
      <c r="AO4" s="2"/>
      <c r="BT4" s="2"/>
      <c r="BU4" s="2"/>
      <c r="BV4" s="2"/>
    </row>
    <row r="5" spans="1:75" s="1" customFormat="1" ht="14.25" customHeight="1" x14ac:dyDescent="0.2">
      <c r="A5" s="2"/>
      <c r="B5"/>
      <c r="G5"/>
      <c r="H5"/>
      <c r="I5"/>
      <c r="M5" s="172"/>
      <c r="N5" s="172"/>
      <c r="O5" s="172"/>
      <c r="P5" s="172"/>
      <c r="Q5" s="172"/>
      <c r="R5" s="172"/>
      <c r="S5" s="172"/>
      <c r="T5" s="172"/>
      <c r="AO5" s="2"/>
      <c r="BT5" s="2"/>
      <c r="BU5" s="2"/>
      <c r="BV5" s="2"/>
    </row>
    <row r="6" spans="1:75" s="1" customFormat="1" ht="12.75" customHeight="1" x14ac:dyDescent="0.2">
      <c r="A6" s="2"/>
      <c r="B6"/>
      <c r="E6" s="167" t="s">
        <v>199</v>
      </c>
      <c r="F6" s="167"/>
      <c r="G6" s="167"/>
      <c r="H6" s="167"/>
      <c r="I6" s="167"/>
      <c r="J6" s="167"/>
      <c r="K6" s="167"/>
      <c r="L6" s="167"/>
      <c r="M6" s="172"/>
      <c r="N6" s="172"/>
      <c r="O6" s="172"/>
      <c r="P6" s="172"/>
      <c r="Q6" s="172"/>
      <c r="R6" s="172"/>
      <c r="S6" s="172"/>
      <c r="T6" s="172"/>
      <c r="AO6" s="2"/>
      <c r="BT6" s="2"/>
      <c r="BU6" s="2"/>
      <c r="BV6" s="2"/>
    </row>
    <row r="7" spans="1:75" s="1" customFormat="1" ht="12.75" customHeight="1" x14ac:dyDescent="0.2">
      <c r="A7"/>
      <c r="B7"/>
      <c r="E7" s="167"/>
      <c r="F7" s="167"/>
      <c r="G7" s="167"/>
      <c r="H7" s="167"/>
      <c r="I7" s="167"/>
      <c r="J7" s="167"/>
      <c r="K7" s="167"/>
      <c r="L7" s="167"/>
      <c r="M7" s="172"/>
      <c r="N7" s="172"/>
      <c r="O7" s="172"/>
      <c r="P7" s="172"/>
      <c r="Q7" s="172"/>
      <c r="R7" s="172"/>
      <c r="S7" s="172"/>
      <c r="T7" s="172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 s="1" customFormat="1" ht="25.5" customHeight="1" x14ac:dyDescent="0.2">
      <c r="A8"/>
      <c r="B8"/>
      <c r="E8" s="167"/>
      <c r="F8" s="167"/>
      <c r="G8" s="167"/>
      <c r="H8" s="167"/>
      <c r="I8" s="167"/>
      <c r="J8" s="167"/>
      <c r="K8" s="167"/>
      <c r="L8" s="167"/>
      <c r="M8" s="172"/>
      <c r="N8" s="172"/>
      <c r="O8" s="172"/>
      <c r="P8" s="172"/>
      <c r="Q8" s="172"/>
      <c r="R8" s="172"/>
      <c r="S8" s="172"/>
      <c r="T8" s="172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 s="1" customFormat="1" x14ac:dyDescent="0.2">
      <c r="A9"/>
      <c r="B9"/>
      <c r="G9"/>
      <c r="H9"/>
      <c r="I9"/>
      <c r="M9" s="172"/>
      <c r="N9" s="172"/>
      <c r="O9" s="172"/>
      <c r="P9" s="172"/>
      <c r="Q9" s="172"/>
      <c r="R9" s="172"/>
      <c r="S9" s="172"/>
      <c r="T9" s="172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 s="1" customFormat="1" x14ac:dyDescent="0.2">
      <c r="A10" s="5"/>
      <c r="C10" s="3" t="s">
        <v>52</v>
      </c>
      <c r="D10" s="3"/>
      <c r="E10" s="3" t="s">
        <v>86</v>
      </c>
      <c r="F10" s="3"/>
      <c r="H10" s="5"/>
      <c r="J10" s="5"/>
      <c r="K10" s="3" t="s">
        <v>87</v>
      </c>
      <c r="M10" s="3"/>
      <c r="N10" s="3"/>
      <c r="O10" s="3"/>
      <c r="P10" s="3"/>
      <c r="Q10" s="3"/>
      <c r="R10" s="3"/>
      <c r="S10" s="3"/>
      <c r="T10" s="3"/>
      <c r="U10" s="3"/>
      <c r="V10"/>
      <c r="W10" s="10"/>
      <c r="X10" s="10"/>
      <c r="Y10" s="10"/>
      <c r="AC10" s="3"/>
      <c r="AD10" s="3"/>
      <c r="AE10" s="6"/>
      <c r="AF10" s="6"/>
      <c r="AG10" s="6"/>
      <c r="AH10" s="6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5"/>
      <c r="BT10" s="5"/>
      <c r="BU10" s="5"/>
      <c r="BV10"/>
      <c r="BW10"/>
    </row>
    <row r="11" spans="1:75" s="1" customFormat="1" x14ac:dyDescent="0.2">
      <c r="A11" s="5"/>
      <c r="B11" s="3"/>
      <c r="C11" s="3"/>
      <c r="D11" s="8"/>
      <c r="E11" s="8"/>
      <c r="F11" s="8"/>
      <c r="G11" s="8"/>
      <c r="H11" s="5"/>
      <c r="I11" s="5"/>
      <c r="J11" s="5"/>
      <c r="K11" s="5"/>
      <c r="L11" s="5"/>
      <c r="M11" s="3"/>
      <c r="N11" s="3"/>
      <c r="O11" s="3"/>
      <c r="P11" s="3"/>
      <c r="Q11" s="3"/>
      <c r="R11" s="3"/>
      <c r="S11" s="3"/>
      <c r="T11" s="3"/>
      <c r="U11" s="3"/>
      <c r="V11" s="3"/>
      <c r="W11"/>
      <c r="X11" s="3"/>
      <c r="Y11" s="3"/>
      <c r="AC11" s="3"/>
      <c r="AD11" s="3"/>
      <c r="AE11" s="3"/>
      <c r="AF11" s="6"/>
      <c r="AG11" s="6"/>
      <c r="AH11" s="6"/>
      <c r="AI11" s="6"/>
      <c r="AJ11"/>
      <c r="AK11"/>
      <c r="AL11" s="7"/>
      <c r="AM11" s="7"/>
      <c r="AN11" s="7"/>
      <c r="AO11" s="7"/>
      <c r="AP11" s="7"/>
      <c r="AQ11" s="7"/>
      <c r="AR11" s="7"/>
      <c r="AS11" s="3"/>
      <c r="AT11" s="3"/>
      <c r="AU11" s="3"/>
      <c r="AV11" s="3"/>
      <c r="AW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5"/>
      <c r="BU11" s="5"/>
      <c r="BV11" s="5"/>
      <c r="BW11"/>
    </row>
    <row r="12" spans="1:75" s="1" customFormat="1" ht="55.9" hidden="1" customHeight="1" x14ac:dyDescent="0.2">
      <c r="A12" s="5"/>
      <c r="B12" s="3"/>
      <c r="C12" s="5"/>
      <c r="D12" s="5"/>
      <c r="E12" s="5"/>
      <c r="F12" s="5"/>
      <c r="G12" s="5"/>
      <c r="H12" s="5"/>
      <c r="I12" s="5"/>
      <c r="J12" s="5"/>
      <c r="K12" s="5"/>
      <c r="L12" s="3"/>
      <c r="M12" s="3"/>
      <c r="N12" s="3"/>
      <c r="O12" s="3"/>
      <c r="P12" s="3"/>
      <c r="Q12" s="3"/>
      <c r="R12" s="3"/>
      <c r="T12" s="2" t="s">
        <v>46</v>
      </c>
      <c r="U12" s="2" t="s">
        <v>48</v>
      </c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3" t="s">
        <v>50</v>
      </c>
      <c r="AG12" s="163"/>
      <c r="AH12" s="163"/>
      <c r="AI12" s="163"/>
      <c r="AJ12" s="163"/>
      <c r="AK12" s="163"/>
      <c r="AL12" s="164" t="s">
        <v>47</v>
      </c>
      <c r="AM12" s="164"/>
      <c r="AN12" s="163" t="s">
        <v>49</v>
      </c>
      <c r="AO12" s="163"/>
      <c r="AP12" s="20"/>
      <c r="AQ12" s="20"/>
      <c r="AR12" s="20"/>
      <c r="AS12" s="3"/>
      <c r="AT12" s="5"/>
      <c r="AU12" s="5"/>
      <c r="AV12" s="5"/>
      <c r="AW12" s="5"/>
      <c r="AX12" s="5"/>
      <c r="AY12" s="5"/>
    </row>
    <row r="13" spans="1:75" s="12" customFormat="1" ht="37.5" customHeight="1" x14ac:dyDescent="0.2">
      <c r="A13" s="119" t="s">
        <v>4</v>
      </c>
      <c r="B13" s="119" t="s">
        <v>5</v>
      </c>
      <c r="C13" s="119" t="s">
        <v>42</v>
      </c>
      <c r="D13" s="114" t="s">
        <v>6</v>
      </c>
      <c r="E13" s="114" t="s">
        <v>17</v>
      </c>
      <c r="F13" s="114" t="s">
        <v>98</v>
      </c>
      <c r="G13" s="114" t="s">
        <v>7</v>
      </c>
      <c r="H13" s="114" t="s">
        <v>18</v>
      </c>
      <c r="I13" s="114" t="s">
        <v>67</v>
      </c>
      <c r="J13" s="114" t="s">
        <v>8</v>
      </c>
      <c r="K13" s="114" t="s">
        <v>19</v>
      </c>
      <c r="L13" s="176" t="s">
        <v>61</v>
      </c>
      <c r="M13" s="176"/>
      <c r="N13" s="176"/>
      <c r="O13" s="176"/>
      <c r="P13" s="176"/>
      <c r="Q13" s="125" t="s">
        <v>79</v>
      </c>
      <c r="R13" s="125" t="s">
        <v>91</v>
      </c>
      <c r="S13" s="128" t="s">
        <v>93</v>
      </c>
      <c r="T13" s="119" t="s">
        <v>68</v>
      </c>
      <c r="U13" s="119" t="s">
        <v>69</v>
      </c>
      <c r="V13" s="144" t="s">
        <v>62</v>
      </c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6"/>
      <c r="AH13" s="141" t="s">
        <v>63</v>
      </c>
      <c r="AI13" s="142"/>
      <c r="AJ13" s="142"/>
      <c r="AK13" s="142"/>
      <c r="AL13" s="142"/>
      <c r="AM13" s="143"/>
      <c r="AN13" s="149" t="s">
        <v>77</v>
      </c>
      <c r="AO13" s="150"/>
      <c r="AP13" s="150"/>
      <c r="AQ13" s="151"/>
      <c r="AR13" s="119" t="s">
        <v>51</v>
      </c>
      <c r="AS13" s="119" t="s">
        <v>43</v>
      </c>
      <c r="AT13" s="119" t="s">
        <v>45</v>
      </c>
      <c r="AU13" s="119" t="s">
        <v>78</v>
      </c>
      <c r="AV13" s="162" t="s">
        <v>94</v>
      </c>
      <c r="AW13" s="162"/>
      <c r="AX13" s="159" t="s">
        <v>80</v>
      </c>
      <c r="AY13" s="159" t="s">
        <v>81</v>
      </c>
      <c r="AZ13" s="159" t="s">
        <v>82</v>
      </c>
      <c r="BA13" s="159" t="s">
        <v>83</v>
      </c>
      <c r="BB13" s="171" t="s">
        <v>92</v>
      </c>
    </row>
    <row r="14" spans="1:75" s="12" customFormat="1" ht="19.5" customHeight="1" x14ac:dyDescent="0.2">
      <c r="A14" s="120"/>
      <c r="B14" s="120"/>
      <c r="C14" s="120"/>
      <c r="D14" s="115"/>
      <c r="E14" s="115"/>
      <c r="F14" s="115"/>
      <c r="G14" s="115"/>
      <c r="H14" s="115"/>
      <c r="I14" s="115"/>
      <c r="J14" s="115"/>
      <c r="K14" s="115"/>
      <c r="L14" s="173" t="s">
        <v>10</v>
      </c>
      <c r="M14" s="174"/>
      <c r="N14" s="174"/>
      <c r="O14" s="175"/>
      <c r="P14" s="120" t="s">
        <v>90</v>
      </c>
      <c r="Q14" s="126"/>
      <c r="R14" s="126"/>
      <c r="S14" s="129"/>
      <c r="T14" s="120"/>
      <c r="U14" s="120"/>
      <c r="V14" s="144" t="s">
        <v>64</v>
      </c>
      <c r="W14" s="145"/>
      <c r="X14" s="145"/>
      <c r="Y14" s="146"/>
      <c r="Z14" s="144" t="s">
        <v>65</v>
      </c>
      <c r="AA14" s="145"/>
      <c r="AB14" s="145"/>
      <c r="AC14" s="146"/>
      <c r="AD14" s="144" t="s">
        <v>66</v>
      </c>
      <c r="AE14" s="145"/>
      <c r="AF14" s="145"/>
      <c r="AG14" s="146"/>
      <c r="AH14" s="141" t="s">
        <v>70</v>
      </c>
      <c r="AI14" s="143"/>
      <c r="AJ14" s="141" t="s">
        <v>71</v>
      </c>
      <c r="AK14" s="143"/>
      <c r="AL14" s="141" t="s">
        <v>72</v>
      </c>
      <c r="AM14" s="143"/>
      <c r="AN14" s="119" t="s">
        <v>73</v>
      </c>
      <c r="AO14" s="119" t="s">
        <v>74</v>
      </c>
      <c r="AP14" s="119" t="s">
        <v>75</v>
      </c>
      <c r="AQ14" s="119" t="s">
        <v>76</v>
      </c>
      <c r="AR14" s="120"/>
      <c r="AS14" s="120"/>
      <c r="AT14" s="120"/>
      <c r="AU14" s="120"/>
      <c r="AV14" s="162" t="s">
        <v>95</v>
      </c>
      <c r="AW14" s="162" t="s">
        <v>96</v>
      </c>
      <c r="AX14" s="160"/>
      <c r="AY14" s="160"/>
      <c r="AZ14" s="160"/>
      <c r="BA14" s="160"/>
      <c r="BB14" s="171"/>
    </row>
    <row r="15" spans="1:75" s="12" customFormat="1" ht="59.25" customHeight="1" x14ac:dyDescent="0.2">
      <c r="A15" s="120"/>
      <c r="B15" s="120"/>
      <c r="C15" s="120"/>
      <c r="D15" s="115"/>
      <c r="E15" s="115"/>
      <c r="F15" s="115"/>
      <c r="G15" s="115"/>
      <c r="H15" s="115"/>
      <c r="I15" s="115"/>
      <c r="J15" s="115"/>
      <c r="K15" s="115"/>
      <c r="L15" s="21" t="s">
        <v>1</v>
      </c>
      <c r="M15" s="21" t="s">
        <v>11</v>
      </c>
      <c r="N15" s="21" t="s">
        <v>12</v>
      </c>
      <c r="O15" s="21" t="s">
        <v>13</v>
      </c>
      <c r="P15" s="120"/>
      <c r="Q15" s="126"/>
      <c r="R15" s="126"/>
      <c r="S15" s="129"/>
      <c r="T15" s="120"/>
      <c r="U15" s="120"/>
      <c r="V15" s="117">
        <v>0.4</v>
      </c>
      <c r="W15" s="118"/>
      <c r="X15" s="117">
        <v>0.5</v>
      </c>
      <c r="Y15" s="118"/>
      <c r="Z15" s="117">
        <v>0.4</v>
      </c>
      <c r="AA15" s="118"/>
      <c r="AB15" s="117">
        <v>0.5</v>
      </c>
      <c r="AC15" s="118"/>
      <c r="AD15" s="117">
        <v>0.4</v>
      </c>
      <c r="AE15" s="118"/>
      <c r="AF15" s="117">
        <v>0.5</v>
      </c>
      <c r="AG15" s="118"/>
      <c r="AH15" s="147">
        <v>0.5</v>
      </c>
      <c r="AI15" s="148"/>
      <c r="AJ15" s="147">
        <v>0.6</v>
      </c>
      <c r="AK15" s="148"/>
      <c r="AL15" s="147">
        <v>0.6</v>
      </c>
      <c r="AM15" s="148"/>
      <c r="AN15" s="121"/>
      <c r="AO15" s="121"/>
      <c r="AP15" s="121"/>
      <c r="AQ15" s="121"/>
      <c r="AR15" s="121"/>
      <c r="AS15" s="121"/>
      <c r="AT15" s="121"/>
      <c r="AU15" s="121"/>
      <c r="AV15" s="162"/>
      <c r="AW15" s="162"/>
      <c r="AX15" s="161"/>
      <c r="AY15" s="161"/>
      <c r="AZ15" s="161"/>
      <c r="BA15" s="161"/>
      <c r="BB15" s="171"/>
    </row>
    <row r="16" spans="1:75" s="12" customFormat="1" ht="20.25" customHeight="1" x14ac:dyDescent="0.2">
      <c r="A16" s="121"/>
      <c r="B16" s="121"/>
      <c r="C16" s="121"/>
      <c r="D16" s="116"/>
      <c r="E16" s="116"/>
      <c r="F16" s="116"/>
      <c r="G16" s="116"/>
      <c r="H16" s="116"/>
      <c r="I16" s="116"/>
      <c r="J16" s="116"/>
      <c r="K16" s="116"/>
      <c r="L16" s="22" t="s">
        <v>15</v>
      </c>
      <c r="M16" s="22" t="s">
        <v>15</v>
      </c>
      <c r="N16" s="22" t="s">
        <v>15</v>
      </c>
      <c r="O16" s="22" t="s">
        <v>15</v>
      </c>
      <c r="P16" s="121"/>
      <c r="Q16" s="127"/>
      <c r="R16" s="127"/>
      <c r="S16" s="130"/>
      <c r="T16" s="121"/>
      <c r="U16" s="121"/>
      <c r="V16" s="24">
        <v>0.5</v>
      </c>
      <c r="W16" s="24">
        <v>1</v>
      </c>
      <c r="X16" s="24">
        <v>0.5</v>
      </c>
      <c r="Y16" s="24">
        <v>1</v>
      </c>
      <c r="Z16" s="24">
        <v>0.5</v>
      </c>
      <c r="AA16" s="24">
        <v>1</v>
      </c>
      <c r="AB16" s="24">
        <v>0.5</v>
      </c>
      <c r="AC16" s="24">
        <v>1</v>
      </c>
      <c r="AD16" s="24">
        <v>0.5</v>
      </c>
      <c r="AE16" s="24">
        <v>1</v>
      </c>
      <c r="AF16" s="24">
        <v>0.5</v>
      </c>
      <c r="AG16" s="24">
        <v>1</v>
      </c>
      <c r="AH16" s="25">
        <v>0.5</v>
      </c>
      <c r="AI16" s="25">
        <v>1</v>
      </c>
      <c r="AJ16" s="25">
        <v>0.5</v>
      </c>
      <c r="AK16" s="25">
        <v>1</v>
      </c>
      <c r="AL16" s="25">
        <v>0.5</v>
      </c>
      <c r="AM16" s="25">
        <v>1</v>
      </c>
      <c r="AN16" s="23" t="s">
        <v>14</v>
      </c>
      <c r="AO16" s="23" t="s">
        <v>14</v>
      </c>
      <c r="AP16" s="23" t="s">
        <v>14</v>
      </c>
      <c r="AQ16" s="23" t="s">
        <v>14</v>
      </c>
      <c r="AR16" s="23" t="s">
        <v>44</v>
      </c>
      <c r="AS16" s="23" t="s">
        <v>14</v>
      </c>
      <c r="AT16" s="23" t="s">
        <v>14</v>
      </c>
      <c r="AU16" s="23" t="s">
        <v>14</v>
      </c>
      <c r="AV16" s="23" t="s">
        <v>14</v>
      </c>
      <c r="AW16" s="23" t="s">
        <v>14</v>
      </c>
      <c r="AX16" s="26" t="s">
        <v>84</v>
      </c>
      <c r="AY16" s="27" t="s">
        <v>84</v>
      </c>
      <c r="AZ16" s="28"/>
      <c r="BA16" s="27" t="s">
        <v>84</v>
      </c>
      <c r="BB16" s="171"/>
    </row>
    <row r="17" spans="1:54" s="12" customFormat="1" ht="27.75" customHeight="1" x14ac:dyDescent="0.2">
      <c r="A17" s="52"/>
      <c r="B17" s="32" t="str">
        <f>'в часах'!B34</f>
        <v>Вакансия</v>
      </c>
      <c r="C17" s="32" t="str">
        <f>'в часах'!C34</f>
        <v>английский язык</v>
      </c>
      <c r="D17" s="32" t="str">
        <f>'в часах'!D34</f>
        <v>высшее Кокшетауский унив. Им.Мырзахметова 2018</v>
      </c>
      <c r="E17" s="32" t="str">
        <f>'в часах'!E34</f>
        <v>05.02,18</v>
      </c>
      <c r="F17" s="32" t="str">
        <f>'в часах'!F34</f>
        <v>педагог-модератор №75 от 24.12.2020</v>
      </c>
      <c r="G17" s="32" t="str">
        <f>'в часах'!G34</f>
        <v>B23 - 05-07</v>
      </c>
      <c r="H17" s="32">
        <f>'в часах'!H34</f>
        <v>4.66</v>
      </c>
      <c r="I17" s="32">
        <f>'в часах'!I34</f>
        <v>1.75</v>
      </c>
      <c r="J17" s="45">
        <f>'в часах'!J34</f>
        <v>144319.035</v>
      </c>
      <c r="K17" s="32">
        <f>'в часах'!K34</f>
        <v>0.25</v>
      </c>
      <c r="L17" s="35">
        <f>J17/24*'в часах'!L34</f>
        <v>0</v>
      </c>
      <c r="M17" s="35">
        <f>J17/16*'в часах'!M34</f>
        <v>0</v>
      </c>
      <c r="N17" s="35">
        <f>J17/16*'в часах'!N34</f>
        <v>0</v>
      </c>
      <c r="O17" s="35">
        <f>J17/16*'в часах'!O34</f>
        <v>36079.758750000001</v>
      </c>
      <c r="P17" s="35">
        <f>L17+M17+N17+O17</f>
        <v>36079.758750000001</v>
      </c>
      <c r="Q17" s="47">
        <f>P17*'в часах'!P34</f>
        <v>9019.9396875000002</v>
      </c>
      <c r="R17" s="47">
        <f>P17+Q17</f>
        <v>45099.698437500003</v>
      </c>
      <c r="S17" s="35">
        <f>P17*'в часах'!Q34</f>
        <v>3607.9758750000001</v>
      </c>
      <c r="T17" s="35">
        <f t="shared" ref="T17" si="0">(M17+N17+O17)*1.25*30%</f>
        <v>13529.909531250001</v>
      </c>
      <c r="U17" s="35">
        <f>17697*40%/16*'в часах'!S34</f>
        <v>0</v>
      </c>
      <c r="V17" s="48">
        <f>17697*20%/16*'в часах'!T34</f>
        <v>0</v>
      </c>
      <c r="W17" s="48">
        <f>17697*40%/16*'в часах'!U34</f>
        <v>0</v>
      </c>
      <c r="X17" s="48">
        <f>17697*25%/16*'в часах'!V34</f>
        <v>0</v>
      </c>
      <c r="Y17" s="48">
        <f>17697*50%/16*'в часах'!W34</f>
        <v>0</v>
      </c>
      <c r="Z17" s="48">
        <f>17697*20%/16*'в часах'!X34</f>
        <v>0</v>
      </c>
      <c r="AA17" s="48">
        <f>17697*40%/16*'в часах'!Y34</f>
        <v>0</v>
      </c>
      <c r="AB17" s="48">
        <f>17697*25%/16*'в часах'!Z34</f>
        <v>0</v>
      </c>
      <c r="AC17" s="48">
        <f>17697*50%/16*'в часах'!AA34</f>
        <v>0</v>
      </c>
      <c r="AD17" s="48">
        <f>17697*20%/16*'в часах'!AB34</f>
        <v>884.85</v>
      </c>
      <c r="AE17" s="48">
        <f>17697*40%/16*'в часах'!AC34</f>
        <v>0</v>
      </c>
      <c r="AF17" s="48">
        <f>17697*25%/16*'в часах'!AD34</f>
        <v>0</v>
      </c>
      <c r="AG17" s="48">
        <f>17697*50%/16*'в часах'!AE34</f>
        <v>0</v>
      </c>
      <c r="AH17" s="48">
        <f>17697*'в часах'!AF34</f>
        <v>0</v>
      </c>
      <c r="AI17" s="48">
        <f>17697*'в часах'!AG34</f>
        <v>0</v>
      </c>
      <c r="AJ17" s="48">
        <f>17697*'в часах'!AH34</f>
        <v>0</v>
      </c>
      <c r="AK17" s="48">
        <f>17697*'в часах'!AI34</f>
        <v>0</v>
      </c>
      <c r="AL17" s="48">
        <f>17697*'в часах'!AJ34</f>
        <v>0</v>
      </c>
      <c r="AM17" s="48">
        <f>17697*'в часах'!AK34</f>
        <v>0</v>
      </c>
      <c r="AN17" s="35"/>
      <c r="AO17" s="35">
        <f>R17*'в часах'!AM34</f>
        <v>0</v>
      </c>
      <c r="AP17" s="35">
        <f>R17*'в часах'!AN34</f>
        <v>0</v>
      </c>
      <c r="AQ17" s="35">
        <f>R17*'в часах'!AO34</f>
        <v>0</v>
      </c>
      <c r="AR17" s="35">
        <f>3063*'в часах'!AP34</f>
        <v>0</v>
      </c>
      <c r="AS17" s="35">
        <f>17697*'в часах'!AQ34</f>
        <v>0</v>
      </c>
      <c r="AT17" s="35">
        <f>17697*'в часах'!AR34</f>
        <v>0</v>
      </c>
      <c r="AU17" s="35">
        <f>17697*'в часах'!AS34</f>
        <v>0</v>
      </c>
      <c r="AV17" s="35">
        <f>17697*'в часах'!AT34</f>
        <v>0</v>
      </c>
      <c r="AW17" s="35">
        <f>17697*'в часах'!AU34</f>
        <v>0</v>
      </c>
      <c r="AX17" s="49">
        <f t="shared" ref="AX17" si="1">SUM(S17:AW17)</f>
        <v>18022.735406250002</v>
      </c>
      <c r="AY17" s="49">
        <f>AX17+R17</f>
        <v>63122.433843750005</v>
      </c>
      <c r="AZ17" s="49">
        <v>12</v>
      </c>
      <c r="BA17" s="49">
        <f>AZ17*AY17</f>
        <v>757469.20612500003</v>
      </c>
      <c r="BB17" s="53"/>
    </row>
    <row r="18" spans="1:54" s="37" customFormat="1" ht="60" x14ac:dyDescent="0.2">
      <c r="A18" s="32">
        <v>1</v>
      </c>
      <c r="B18" s="32" t="str">
        <f>'в часах'!B35</f>
        <v>Нацаренус Мария Александровна</v>
      </c>
      <c r="C18" s="32" t="str">
        <f>'в часах'!C35</f>
        <v>учитель началных классов</v>
      </c>
      <c r="D18" s="32" t="str">
        <f>'в часах'!D35</f>
        <v>высшее. СКГУ, Омский государственный педагогический университет</v>
      </c>
      <c r="E18" s="32" t="str">
        <f>'в часах'!E35</f>
        <v>21.00.01</v>
      </c>
      <c r="F18" s="32" t="str">
        <f>'в часах'!F35</f>
        <v>педагог - эксперт№ 553 от 20.12.2021</v>
      </c>
      <c r="G18" s="32" t="str">
        <f>'в часах'!G35</f>
        <v>B22 - 20-25</v>
      </c>
      <c r="H18" s="32">
        <f>'в часах'!H35</f>
        <v>5.12</v>
      </c>
      <c r="I18" s="32">
        <f>'в часах'!I35</f>
        <v>1.75</v>
      </c>
      <c r="J18" s="45">
        <f>'в часах'!J35</f>
        <v>158565.12</v>
      </c>
      <c r="K18" s="32">
        <f>'в часах'!K35</f>
        <v>1.0625</v>
      </c>
      <c r="L18" s="35">
        <f>J18/24*'в часах'!L35</f>
        <v>0</v>
      </c>
      <c r="M18" s="35">
        <f>J18/16*'в часах'!M35</f>
        <v>168475.44</v>
      </c>
      <c r="N18" s="35">
        <f>J18/16*'в часах'!N35</f>
        <v>0</v>
      </c>
      <c r="O18" s="35">
        <f>J18/16*'в часах'!O35</f>
        <v>0</v>
      </c>
      <c r="P18" s="35">
        <f>L18+M18+N18+O18</f>
        <v>168475.44</v>
      </c>
      <c r="Q18" s="47">
        <f>P18*'в часах'!P35</f>
        <v>42118.86</v>
      </c>
      <c r="R18" s="47">
        <f>P18+Q18</f>
        <v>210594.3</v>
      </c>
      <c r="S18" s="35">
        <f>P18*'в часах'!Q35</f>
        <v>16847.544000000002</v>
      </c>
      <c r="T18" s="35">
        <f t="shared" ref="T18:T50" si="2">(M18+N18+O18)*1.25*30%</f>
        <v>63178.289999999994</v>
      </c>
      <c r="U18" s="35">
        <f>17697*40%/16*'в часах'!S35</f>
        <v>0</v>
      </c>
      <c r="V18" s="48">
        <f>17697*20%/16*'в часах'!T35</f>
        <v>3096.9749999999999</v>
      </c>
      <c r="W18" s="48">
        <f>17697*40%/16*'в часах'!U35</f>
        <v>0</v>
      </c>
      <c r="X18" s="48">
        <f>17697*25%/16*'в часах'!V35</f>
        <v>0</v>
      </c>
      <c r="Y18" s="48">
        <f>17697*50%/16*'в часах'!W35</f>
        <v>0</v>
      </c>
      <c r="Z18" s="48">
        <f>17697*20%/16*'в часах'!X35</f>
        <v>0</v>
      </c>
      <c r="AA18" s="48">
        <f>17697*40%/16*'в часах'!Y35</f>
        <v>0</v>
      </c>
      <c r="AB18" s="48">
        <f>17697*25%/16*'в часах'!Z35</f>
        <v>0</v>
      </c>
      <c r="AC18" s="48">
        <f>17697*50%/16*'в часах'!AA35</f>
        <v>0</v>
      </c>
      <c r="AD18" s="48">
        <f>17697*20%/16*'в часах'!AB35</f>
        <v>0</v>
      </c>
      <c r="AE18" s="48">
        <f>17697*40%/16*'в часах'!AC35</f>
        <v>0</v>
      </c>
      <c r="AF18" s="48">
        <f>17697*25%/16*'в часах'!AD35</f>
        <v>0</v>
      </c>
      <c r="AG18" s="48">
        <f>17697*50%/16*'в часах'!AE35</f>
        <v>0</v>
      </c>
      <c r="AH18" s="48">
        <f>17697*'в часах'!AF35</f>
        <v>4424.25</v>
      </c>
      <c r="AI18" s="48">
        <f>17697*'в часах'!AG35</f>
        <v>0</v>
      </c>
      <c r="AJ18" s="48">
        <f>17697*'в часах'!AH35</f>
        <v>0</v>
      </c>
      <c r="AK18" s="48">
        <f>17697*'в часах'!AI35</f>
        <v>0</v>
      </c>
      <c r="AL18" s="48">
        <f>17697*'в часах'!AJ35</f>
        <v>0</v>
      </c>
      <c r="AM18" s="48">
        <f>17697*'в часах'!AK35</f>
        <v>0</v>
      </c>
      <c r="AN18" s="35"/>
      <c r="AO18" s="35">
        <f>R18*'в часах'!AM35</f>
        <v>0</v>
      </c>
      <c r="AP18" s="35">
        <f>R18*'в часах'!AN35</f>
        <v>73708.00499999999</v>
      </c>
      <c r="AQ18" s="35">
        <f>R18*'в часах'!AO35</f>
        <v>0</v>
      </c>
      <c r="AR18" s="35">
        <f>3063*'в часах'!AP35</f>
        <v>30630</v>
      </c>
      <c r="AS18" s="35">
        <f>17697*'в часах'!AQ35</f>
        <v>0</v>
      </c>
      <c r="AT18" s="35">
        <f>17697*'в часах'!AR35</f>
        <v>0</v>
      </c>
      <c r="AU18" s="35">
        <f>17697*'в часах'!AS35</f>
        <v>0</v>
      </c>
      <c r="AV18" s="35">
        <f>17697*'в часах'!AT35</f>
        <v>3539.4</v>
      </c>
      <c r="AW18" s="35">
        <f>17697*'в часах'!AU35</f>
        <v>0</v>
      </c>
      <c r="AX18" s="49">
        <f t="shared" ref="AX18:AX50" si="3">SUM(S18:AW18)</f>
        <v>195424.46400000001</v>
      </c>
      <c r="AY18" s="49">
        <f>AX18+R18</f>
        <v>406018.76399999997</v>
      </c>
      <c r="AZ18" s="49">
        <v>12</v>
      </c>
      <c r="BA18" s="49">
        <f>AZ18*AY18</f>
        <v>4872225.1679999996</v>
      </c>
      <c r="BB18" s="40"/>
    </row>
    <row r="19" spans="1:54" s="37" customFormat="1" ht="24" x14ac:dyDescent="0.2">
      <c r="A19" s="32">
        <f>A18+1</f>
        <v>2</v>
      </c>
      <c r="B19" s="32" t="str">
        <f>'в часах'!B36</f>
        <v>Ахметова Дана Турсунбековна</v>
      </c>
      <c r="C19" s="32" t="str">
        <f>'в часах'!C36</f>
        <v>Глобальная компетенция</v>
      </c>
      <c r="D19" s="32" t="str">
        <f>'в часах'!D36</f>
        <v>Бакалавр педагогики и психологии</v>
      </c>
      <c r="E19" s="32" t="str">
        <f>'в часах'!E36</f>
        <v>18,05,15</v>
      </c>
      <c r="F19" s="32" t="str">
        <f>'в часах'!F36</f>
        <v>б/к</v>
      </c>
      <c r="G19" s="32" t="str">
        <f>'в часах'!G36</f>
        <v>В24-16-20</v>
      </c>
      <c r="H19" s="32">
        <f>'в часах'!H36</f>
        <v>4.59</v>
      </c>
      <c r="I19" s="32">
        <f>'в часах'!I36</f>
        <v>1.75</v>
      </c>
      <c r="J19" s="45">
        <f>'в часах'!J36</f>
        <v>142151.1525</v>
      </c>
      <c r="K19" s="32">
        <f>'в часах'!K36</f>
        <v>0.125</v>
      </c>
      <c r="L19" s="35">
        <f>J19/24*'в часах'!L36</f>
        <v>0</v>
      </c>
      <c r="M19" s="35">
        <f>J19/16*'в часах'!M36</f>
        <v>0</v>
      </c>
      <c r="N19" s="35">
        <f>J19/16*'в часах'!N36</f>
        <v>17768.8940625</v>
      </c>
      <c r="O19" s="35">
        <f>J19/16*'в часах'!O36</f>
        <v>0</v>
      </c>
      <c r="P19" s="35">
        <f>L19+M19+N19+O19</f>
        <v>17768.8940625</v>
      </c>
      <c r="Q19" s="47">
        <f>P19*'в часах'!P36</f>
        <v>4442.2235156249999</v>
      </c>
      <c r="R19" s="47">
        <f>P19+Q19</f>
        <v>22211.117578124999</v>
      </c>
      <c r="S19" s="35">
        <f>P19*'в часах'!Q36</f>
        <v>1776.8894062500001</v>
      </c>
      <c r="T19" s="35">
        <f t="shared" ref="T19" si="4">(M19+N19+O19)*1.25*30%</f>
        <v>6663.3352734374994</v>
      </c>
      <c r="U19" s="35">
        <f>17697*40%/16*'в часах'!S36</f>
        <v>0</v>
      </c>
      <c r="V19" s="48">
        <f>17697*20%/16*'в часах'!T36</f>
        <v>0</v>
      </c>
      <c r="W19" s="48">
        <f>17697*40%/16*'в часах'!U36</f>
        <v>0</v>
      </c>
      <c r="X19" s="48">
        <f>17697*25%/16*'в часах'!V36</f>
        <v>0</v>
      </c>
      <c r="Y19" s="48">
        <f>17697*50%/16*'в часах'!W36</f>
        <v>0</v>
      </c>
      <c r="Z19" s="48">
        <f>17697*20%/16*'в часах'!X36</f>
        <v>0</v>
      </c>
      <c r="AA19" s="48">
        <f>17697*40%/16*'в часах'!Y36</f>
        <v>0</v>
      </c>
      <c r="AB19" s="48">
        <f>17697*25%/16*'в часах'!Z36</f>
        <v>0</v>
      </c>
      <c r="AC19" s="48">
        <f>17697*50%/16*'в часах'!AA36</f>
        <v>0</v>
      </c>
      <c r="AD19" s="48">
        <f>17697*20%/16*'в часах'!AB36</f>
        <v>0</v>
      </c>
      <c r="AE19" s="48">
        <f>17697*40%/16*'в часах'!AC36</f>
        <v>0</v>
      </c>
      <c r="AF19" s="48">
        <f>17697*25%/16*'в часах'!AD36</f>
        <v>0</v>
      </c>
      <c r="AG19" s="48">
        <f>17697*50%/16*'в часах'!AE36</f>
        <v>0</v>
      </c>
      <c r="AH19" s="48">
        <f>17697*'в часах'!AF36</f>
        <v>0</v>
      </c>
      <c r="AI19" s="48">
        <f>17697*'в часах'!AG36</f>
        <v>0</v>
      </c>
      <c r="AJ19" s="48">
        <f>17697*'в часах'!AH36</f>
        <v>0</v>
      </c>
      <c r="AK19" s="48">
        <f>17697*'в часах'!AI36</f>
        <v>0</v>
      </c>
      <c r="AL19" s="48">
        <f>17697*'в часах'!AJ36</f>
        <v>0</v>
      </c>
      <c r="AM19" s="48">
        <f>17697*'в часах'!AK36</f>
        <v>0</v>
      </c>
      <c r="AN19" s="35"/>
      <c r="AO19" s="35">
        <f>R19*'в часах'!AM36</f>
        <v>0</v>
      </c>
      <c r="AP19" s="35">
        <f>R19*'в часах'!AN36</f>
        <v>0</v>
      </c>
      <c r="AQ19" s="35">
        <f>R19*'в часах'!AO36</f>
        <v>0</v>
      </c>
      <c r="AR19" s="35">
        <f>3063*'в часах'!AP36</f>
        <v>0</v>
      </c>
      <c r="AS19" s="35">
        <f>17697*'в часах'!AQ36</f>
        <v>0</v>
      </c>
      <c r="AT19" s="35">
        <f>17697*'в часах'!AR36</f>
        <v>0</v>
      </c>
      <c r="AU19" s="35">
        <f>17697*'в часах'!AS36</f>
        <v>0</v>
      </c>
      <c r="AV19" s="35">
        <f>17697*'в часах'!AT36</f>
        <v>0</v>
      </c>
      <c r="AW19" s="35">
        <f>17697*'в часах'!AU36</f>
        <v>0</v>
      </c>
      <c r="AX19" s="49">
        <f t="shared" ref="AX19" si="5">SUM(S19:AW19)</f>
        <v>8440.2246796874988</v>
      </c>
      <c r="AY19" s="49">
        <f>AX19+R19</f>
        <v>30651.342257812496</v>
      </c>
      <c r="AZ19" s="49">
        <v>12</v>
      </c>
      <c r="BA19" s="49">
        <f>AZ19*AY19</f>
        <v>367816.10709374992</v>
      </c>
      <c r="BB19" s="40"/>
    </row>
    <row r="20" spans="1:54" s="38" customFormat="1" ht="36" x14ac:dyDescent="0.2">
      <c r="A20" s="32">
        <f t="shared" ref="A20:A51" si="6">A19+1</f>
        <v>3</v>
      </c>
      <c r="B20" s="32" t="str">
        <f>'в часах'!B37</f>
        <v>Шульга Евгений Викторович</v>
      </c>
      <c r="C20" s="32" t="str">
        <f>'в часах'!C37</f>
        <v>курс ОБИП</v>
      </c>
      <c r="D20" s="32" t="str">
        <f>'в часах'!D37</f>
        <v>высшее. Академия "Кокше", 2013, ФК и спорт</v>
      </c>
      <c r="E20" s="32" t="str">
        <f>'в часах'!E37</f>
        <v>17.07.18</v>
      </c>
      <c r="F20" s="32" t="str">
        <f>'в часах'!F37</f>
        <v>б\к</v>
      </c>
      <c r="G20" s="32" t="str">
        <f>'в часах'!G37</f>
        <v>В24-16-20</v>
      </c>
      <c r="H20" s="32">
        <f>'в часах'!H37</f>
        <v>4.59</v>
      </c>
      <c r="I20" s="32">
        <f>'в часах'!I37</f>
        <v>1.75</v>
      </c>
      <c r="J20" s="45">
        <f>'в часах'!J37</f>
        <v>142151.1525</v>
      </c>
      <c r="K20" s="44">
        <f>'в часах'!K37</f>
        <v>6.25E-2</v>
      </c>
      <c r="L20" s="35">
        <f>J20/24*'в часах'!L37</f>
        <v>0</v>
      </c>
      <c r="M20" s="35">
        <f>J20/16*'в часах'!M37</f>
        <v>0</v>
      </c>
      <c r="N20" s="35">
        <f>J20/16*'в часах'!N37</f>
        <v>0</v>
      </c>
      <c r="O20" s="35">
        <f>J20/16*'в часах'!O37</f>
        <v>8884.4470312499998</v>
      </c>
      <c r="P20" s="35">
        <f t="shared" ref="P20:P50" si="7">L20+M20+N20+O20</f>
        <v>8884.4470312499998</v>
      </c>
      <c r="Q20" s="47">
        <f>P20*'в часах'!P37</f>
        <v>2221.1117578124999</v>
      </c>
      <c r="R20" s="47">
        <f t="shared" ref="R20:R50" si="8">P20+Q20</f>
        <v>11105.558789062499</v>
      </c>
      <c r="S20" s="35">
        <f>P20*'в часах'!Q37</f>
        <v>888.44470312500005</v>
      </c>
      <c r="T20" s="35">
        <f t="shared" si="2"/>
        <v>3331.6676367187497</v>
      </c>
      <c r="U20" s="35">
        <f>17697*40%/16*'в часах'!S37</f>
        <v>0</v>
      </c>
      <c r="V20" s="48">
        <f>17697*20%/16*'в часах'!T37</f>
        <v>0</v>
      </c>
      <c r="W20" s="48">
        <f>17697*40%/16*'в часах'!U37</f>
        <v>0</v>
      </c>
      <c r="X20" s="48">
        <f>17697*25%/16*'в часах'!V37</f>
        <v>0</v>
      </c>
      <c r="Y20" s="48">
        <f>17697*50%/16*'в часах'!W37</f>
        <v>0</v>
      </c>
      <c r="Z20" s="48">
        <f>17697*20%/16*'в часах'!X37</f>
        <v>0</v>
      </c>
      <c r="AA20" s="48">
        <f>17697*40%/16*'в часах'!Y37</f>
        <v>0</v>
      </c>
      <c r="AB20" s="48">
        <f>17697*25%/16*'в часах'!Z37</f>
        <v>0</v>
      </c>
      <c r="AC20" s="48">
        <f>17697*50%/16*'в часах'!AA37</f>
        <v>0</v>
      </c>
      <c r="AD20" s="48">
        <f>17697*20%/16*'в часах'!AB37</f>
        <v>0</v>
      </c>
      <c r="AE20" s="48">
        <f>17697*40%/16*'в часах'!AC37</f>
        <v>0</v>
      </c>
      <c r="AF20" s="48">
        <f>17697*25%/16*'в часах'!AD37</f>
        <v>0</v>
      </c>
      <c r="AG20" s="48">
        <f>17697*50%/16*'в часах'!AE37</f>
        <v>0</v>
      </c>
      <c r="AH20" s="48">
        <f>17697*'в часах'!AF36</f>
        <v>0</v>
      </c>
      <c r="AI20" s="48">
        <f>17697*'в часах'!AG36</f>
        <v>0</v>
      </c>
      <c r="AJ20" s="48">
        <f>17697*'в часах'!AH36</f>
        <v>0</v>
      </c>
      <c r="AK20" s="48">
        <f>17697*'в часах'!AI36</f>
        <v>0</v>
      </c>
      <c r="AL20" s="48">
        <f>17697*'в часах'!AJ37</f>
        <v>0</v>
      </c>
      <c r="AM20" s="48">
        <f>17697*'в часах'!AK37</f>
        <v>0</v>
      </c>
      <c r="AN20" s="35"/>
      <c r="AO20" s="35">
        <f>R20*'в часах'!AM37</f>
        <v>0</v>
      </c>
      <c r="AP20" s="35">
        <f>R20*'в часах'!AN37</f>
        <v>0</v>
      </c>
      <c r="AQ20" s="35">
        <f>R20*'в часах'!AO37</f>
        <v>0</v>
      </c>
      <c r="AR20" s="35">
        <f>3063*'в часах'!AP37</f>
        <v>0</v>
      </c>
      <c r="AS20" s="35">
        <f>17697*'в часах'!AQ37</f>
        <v>0</v>
      </c>
      <c r="AT20" s="35">
        <f>17697*'в часах'!AR37</f>
        <v>0</v>
      </c>
      <c r="AU20" s="35">
        <f>17697*'в часах'!AS37</f>
        <v>0</v>
      </c>
      <c r="AV20" s="35">
        <f>17697*'в часах'!AT37</f>
        <v>0</v>
      </c>
      <c r="AW20" s="35">
        <f>17697*'в часах'!AU37</f>
        <v>0</v>
      </c>
      <c r="AX20" s="49">
        <f t="shared" si="3"/>
        <v>4220.1123398437494</v>
      </c>
      <c r="AY20" s="49">
        <f t="shared" ref="AY20:AY50" si="9">AX20+R20</f>
        <v>15325.671128906248</v>
      </c>
      <c r="AZ20" s="49">
        <v>12</v>
      </c>
      <c r="BA20" s="49">
        <f t="shared" ref="BA20:BA50" si="10">AZ20*AY20</f>
        <v>183908.05354687496</v>
      </c>
      <c r="BB20" s="40"/>
    </row>
    <row r="21" spans="1:54" s="38" customFormat="1" ht="24" x14ac:dyDescent="0.2">
      <c r="A21" s="32">
        <f t="shared" si="6"/>
        <v>4</v>
      </c>
      <c r="B21" s="32" t="str">
        <f>'в часах'!B38</f>
        <v>Шульга Евгений Викторович</v>
      </c>
      <c r="C21" s="32" t="str">
        <f>'в часах'!C38</f>
        <v>художественный труд</v>
      </c>
      <c r="D21" s="32" t="str">
        <f>'в часах'!D38</f>
        <v>учитель (курсы переподготовки)</v>
      </c>
      <c r="E21" s="32" t="str">
        <f>'в часах'!E38</f>
        <v>17.07.18</v>
      </c>
      <c r="F21" s="32" t="str">
        <f>'в часах'!F38</f>
        <v>б\к</v>
      </c>
      <c r="G21" s="32" t="str">
        <f>'в часах'!G38</f>
        <v>В24-16-20</v>
      </c>
      <c r="H21" s="32">
        <f>'в часах'!H38</f>
        <v>4.59</v>
      </c>
      <c r="I21" s="32">
        <f>'в часах'!I38</f>
        <v>1.75</v>
      </c>
      <c r="J21" s="45">
        <f>'в часах'!J38</f>
        <v>142151.1525</v>
      </c>
      <c r="K21" s="44">
        <f>'в часах'!K38</f>
        <v>0.4375</v>
      </c>
      <c r="L21" s="35">
        <f>J21/24*'в часах'!L38</f>
        <v>0</v>
      </c>
      <c r="M21" s="35">
        <f>J21/16*'в часах'!M38</f>
        <v>0</v>
      </c>
      <c r="N21" s="35">
        <f>J21/16*'в часах'!N38</f>
        <v>62191.12921875</v>
      </c>
      <c r="O21" s="35">
        <f>J21/16*'в часах'!O38</f>
        <v>0</v>
      </c>
      <c r="P21" s="35">
        <f t="shared" si="7"/>
        <v>62191.12921875</v>
      </c>
      <c r="Q21" s="47">
        <f>P21*'в часах'!P38</f>
        <v>15547.7823046875</v>
      </c>
      <c r="R21" s="47">
        <f t="shared" si="8"/>
        <v>77738.911523437506</v>
      </c>
      <c r="S21" s="35">
        <f>P21*'в часах'!Q38</f>
        <v>6219.1129218750002</v>
      </c>
      <c r="T21" s="35">
        <f t="shared" si="2"/>
        <v>23321.673457031251</v>
      </c>
      <c r="U21" s="35">
        <f>17697*40%/16*'в часах'!S38</f>
        <v>0</v>
      </c>
      <c r="V21" s="48">
        <f>17697*20%/16*'в часах'!T38</f>
        <v>0</v>
      </c>
      <c r="W21" s="48">
        <f>17697*40%/16*'в часах'!U38</f>
        <v>0</v>
      </c>
      <c r="X21" s="48">
        <f>17697*25%/16*'в часах'!V38</f>
        <v>0</v>
      </c>
      <c r="Y21" s="48">
        <f>17697*50%/16*'в часах'!W38</f>
        <v>0</v>
      </c>
      <c r="Z21" s="48">
        <f>17697*20%/16*'в часах'!X38</f>
        <v>0</v>
      </c>
      <c r="AA21" s="48">
        <f>17697*40%/16*'в часах'!Y38</f>
        <v>0</v>
      </c>
      <c r="AB21" s="48">
        <f>17697*25%/16*'в часах'!Z38</f>
        <v>0</v>
      </c>
      <c r="AC21" s="48">
        <f>17697*50%/16*'в часах'!AA38</f>
        <v>0</v>
      </c>
      <c r="AD21" s="48">
        <f>17697*20%/16*'в часах'!AB38</f>
        <v>0</v>
      </c>
      <c r="AE21" s="48">
        <f>17697*40%/16*'в часах'!AC38</f>
        <v>0</v>
      </c>
      <c r="AF21" s="48">
        <f>17697*25%/16*'в часах'!AD38</f>
        <v>0</v>
      </c>
      <c r="AG21" s="48">
        <f>17697*50%/16*'в часах'!AE38</f>
        <v>0</v>
      </c>
      <c r="AH21" s="48">
        <f>17697*'в часах'!AF37</f>
        <v>0</v>
      </c>
      <c r="AI21" s="48">
        <f>17697*'в часах'!AG37</f>
        <v>0</v>
      </c>
      <c r="AJ21" s="48">
        <f>17697*'в часах'!AH37</f>
        <v>0</v>
      </c>
      <c r="AK21" s="48">
        <f>17697*'в часах'!AI37</f>
        <v>0</v>
      </c>
      <c r="AL21" s="48">
        <f>17697*'в часах'!AJ38</f>
        <v>0</v>
      </c>
      <c r="AM21" s="48">
        <f>17697*'в часах'!AK38</f>
        <v>0</v>
      </c>
      <c r="AN21" s="35"/>
      <c r="AO21" s="35">
        <f>R21*'в часах'!AM38</f>
        <v>0</v>
      </c>
      <c r="AP21" s="35">
        <f>R21*'в часах'!AN38</f>
        <v>0</v>
      </c>
      <c r="AQ21" s="35">
        <f>R21*'в часах'!AO38</f>
        <v>0</v>
      </c>
      <c r="AR21" s="35">
        <f>3063*'в часах'!AP38</f>
        <v>0</v>
      </c>
      <c r="AS21" s="35">
        <f>17697*'в часах'!AQ38</f>
        <v>0</v>
      </c>
      <c r="AT21" s="35">
        <f>17697*'в часах'!AR38</f>
        <v>0</v>
      </c>
      <c r="AU21" s="35">
        <f>17697*'в часах'!AS38</f>
        <v>0</v>
      </c>
      <c r="AV21" s="35">
        <f>17697*'в часах'!AT38</f>
        <v>0</v>
      </c>
      <c r="AW21" s="35">
        <f>17697*'в часах'!AU38</f>
        <v>5309.0999999999995</v>
      </c>
      <c r="AX21" s="49">
        <f t="shared" ref="AX21" si="11">SUM(S21:AW21)</f>
        <v>34849.886378906253</v>
      </c>
      <c r="AY21" s="49">
        <f t="shared" ref="AY21" si="12">AX21+R21</f>
        <v>112588.79790234377</v>
      </c>
      <c r="AZ21" s="49">
        <v>12</v>
      </c>
      <c r="BA21" s="49">
        <f t="shared" ref="BA21" si="13">AZ21*AY21</f>
        <v>1351065.5748281251</v>
      </c>
      <c r="BB21" s="40"/>
    </row>
    <row r="22" spans="1:54" s="38" customFormat="1" ht="48" x14ac:dyDescent="0.2">
      <c r="A22" s="32">
        <f t="shared" si="6"/>
        <v>5</v>
      </c>
      <c r="B22" s="32" t="str">
        <f>'в часах'!B39</f>
        <v>Ахметов Берик Турсунбекович</v>
      </c>
      <c r="C22" s="32" t="str">
        <f>'в часах'!C39</f>
        <v>физическая культура</v>
      </c>
      <c r="D22" s="32" t="str">
        <f>'в часах'!D39</f>
        <v>высшее. Академия "Кокше", 2013, ФК и спорт</v>
      </c>
      <c r="E22" s="32" t="str">
        <f>'в часах'!E39</f>
        <v>14.07.14.</v>
      </c>
      <c r="F22" s="32" t="str">
        <f>'в часах'!F39</f>
        <v>педагог-модератор №150 от 12.07 2021</v>
      </c>
      <c r="G22" s="32" t="str">
        <f>'в часах'!G39</f>
        <v>B23 - 13-16</v>
      </c>
      <c r="H22" s="32">
        <f>'в часах'!H39</f>
        <v>4.9000000000000004</v>
      </c>
      <c r="I22" s="32">
        <f>'в часах'!I39</f>
        <v>1.75</v>
      </c>
      <c r="J22" s="45">
        <f>'в часах'!J39</f>
        <v>151751.77500000002</v>
      </c>
      <c r="K22" s="44">
        <f>'в часах'!K39</f>
        <v>0.9375</v>
      </c>
      <c r="L22" s="35">
        <f>J22/24*'в часах'!L39</f>
        <v>0</v>
      </c>
      <c r="M22" s="35">
        <f>J22/16*'в часах'!M39</f>
        <v>56906.915625000009</v>
      </c>
      <c r="N22" s="35">
        <f>J22/16*'в часах'!N39</f>
        <v>56906.915625000009</v>
      </c>
      <c r="O22" s="35">
        <f>J22/16*'в часах'!O39</f>
        <v>28453.457812500004</v>
      </c>
      <c r="P22" s="35">
        <f t="shared" si="7"/>
        <v>142267.28906250003</v>
      </c>
      <c r="Q22" s="47">
        <f>P22*'в часах'!P39</f>
        <v>35566.822265625007</v>
      </c>
      <c r="R22" s="47">
        <f t="shared" si="8"/>
        <v>177834.11132812503</v>
      </c>
      <c r="S22" s="35">
        <f>P22*'в часах'!Q39</f>
        <v>14226.728906250004</v>
      </c>
      <c r="T22" s="35">
        <f t="shared" si="2"/>
        <v>53350.233398437507</v>
      </c>
      <c r="U22" s="35">
        <f>17697*40%/16*'в часах'!S39</f>
        <v>0</v>
      </c>
      <c r="V22" s="48">
        <f>17697*20%/16*'в часах'!T39</f>
        <v>0</v>
      </c>
      <c r="W22" s="48">
        <f>17697*40%/16*'в часах'!U39</f>
        <v>0</v>
      </c>
      <c r="X22" s="48">
        <f>17697*25%/16*'в часах'!V39</f>
        <v>0</v>
      </c>
      <c r="Y22" s="48">
        <f>17697*50%/16*'в часах'!W39</f>
        <v>0</v>
      </c>
      <c r="Z22" s="48">
        <f>17697*20%/16*'в часах'!X39</f>
        <v>0</v>
      </c>
      <c r="AA22" s="48">
        <f>17697*40%/16*'в часах'!Y39</f>
        <v>0</v>
      </c>
      <c r="AB22" s="48">
        <f>17697*25%/16*'в часах'!Z39</f>
        <v>0</v>
      </c>
      <c r="AC22" s="48">
        <f>17697*50%/16*'в часах'!AA39</f>
        <v>0</v>
      </c>
      <c r="AD22" s="48">
        <f>17697*20%/16*'в часах'!AB39</f>
        <v>0</v>
      </c>
      <c r="AE22" s="48">
        <f>17697*40%/16*'в часах'!AC39</f>
        <v>0</v>
      </c>
      <c r="AF22" s="48">
        <f>17697*25%/16*'в часах'!AD39</f>
        <v>0</v>
      </c>
      <c r="AG22" s="48">
        <f>17697*50%/16*'в часах'!AE39</f>
        <v>0</v>
      </c>
      <c r="AH22" s="48">
        <f>17697*'в часах'!AF38</f>
        <v>0</v>
      </c>
      <c r="AI22" s="48">
        <f>17697*'в часах'!AG38</f>
        <v>0</v>
      </c>
      <c r="AJ22" s="48">
        <f>17697*'в часах'!AH38</f>
        <v>0</v>
      </c>
      <c r="AK22" s="48">
        <f>17697*'в часах'!AI38</f>
        <v>0</v>
      </c>
      <c r="AL22" s="48">
        <f>17697*'в часах'!AJ39</f>
        <v>0</v>
      </c>
      <c r="AM22" s="48">
        <f>17697*'в часах'!AK39</f>
        <v>0</v>
      </c>
      <c r="AN22" s="35"/>
      <c r="AO22" s="35">
        <f>R22*'в часах'!AM39</f>
        <v>0</v>
      </c>
      <c r="AP22" s="35">
        <f>R22*'в часах'!AN39</f>
        <v>0</v>
      </c>
      <c r="AQ22" s="35">
        <f>R22*'в часах'!AO39</f>
        <v>53350.233398437507</v>
      </c>
      <c r="AR22" s="35">
        <f>3063*'в часах'!AP39</f>
        <v>0</v>
      </c>
      <c r="AS22" s="35">
        <f>17697*'в часах'!AQ39</f>
        <v>0</v>
      </c>
      <c r="AT22" s="35">
        <f>17697*'в часах'!AR39</f>
        <v>17697</v>
      </c>
      <c r="AU22" s="35">
        <f>17697*'в часах'!AS39</f>
        <v>0</v>
      </c>
      <c r="AV22" s="35">
        <f>17697*'в часах'!AT39</f>
        <v>3539.4</v>
      </c>
      <c r="AW22" s="35">
        <f>17697*'в часах'!AU39</f>
        <v>0</v>
      </c>
      <c r="AX22" s="49">
        <f t="shared" si="3"/>
        <v>142163.595703125</v>
      </c>
      <c r="AY22" s="49">
        <f t="shared" si="9"/>
        <v>319997.70703125</v>
      </c>
      <c r="AZ22" s="49">
        <v>12</v>
      </c>
      <c r="BA22" s="49">
        <f t="shared" si="10"/>
        <v>3839972.484375</v>
      </c>
      <c r="BB22" s="40"/>
    </row>
    <row r="23" spans="1:54" s="38" customFormat="1" ht="24" x14ac:dyDescent="0.2">
      <c r="A23" s="32">
        <f t="shared" si="6"/>
        <v>6</v>
      </c>
      <c r="B23" s="32" t="str">
        <f>'в часах'!B40</f>
        <v>Нацаренус Дмитрий Викторович</v>
      </c>
      <c r="C23" s="32" t="str">
        <f>'в часах'!C40</f>
        <v>физическая культура</v>
      </c>
      <c r="D23" s="32" t="str">
        <f>'в часах'!D40</f>
        <v>Высшее. Академия "Кокше" 2012</v>
      </c>
      <c r="E23" s="32" t="str">
        <f>'в часах'!E40</f>
        <v>15.09.29</v>
      </c>
      <c r="F23" s="32" t="str">
        <f>'в часах'!F40</f>
        <v>б/к</v>
      </c>
      <c r="G23" s="32" t="str">
        <f>'в часах'!G40</f>
        <v>B24 - 13-16</v>
      </c>
      <c r="H23" s="32">
        <f>'в часах'!H40</f>
        <v>4.49</v>
      </c>
      <c r="I23" s="32">
        <f>'в часах'!I40</f>
        <v>1.75</v>
      </c>
      <c r="J23" s="45">
        <f>'в часах'!J40</f>
        <v>139054.17750000002</v>
      </c>
      <c r="K23" s="44">
        <f>'в часах'!K40</f>
        <v>0.9375</v>
      </c>
      <c r="L23" s="35">
        <f>J23/24*'в часах'!L40</f>
        <v>0</v>
      </c>
      <c r="M23" s="35">
        <f>J23/16*'в часах'!M40</f>
        <v>0</v>
      </c>
      <c r="N23" s="35">
        <f>J23/16*'в часах'!N40</f>
        <v>78217.974843750009</v>
      </c>
      <c r="O23" s="35">
        <f>J23/16*'в часах'!O40</f>
        <v>52145.316562500011</v>
      </c>
      <c r="P23" s="35">
        <f t="shared" si="7"/>
        <v>130363.29140625002</v>
      </c>
      <c r="Q23" s="47">
        <f>P23*'в часах'!P40</f>
        <v>32590.822851562505</v>
      </c>
      <c r="R23" s="47">
        <f t="shared" si="8"/>
        <v>162954.11425781253</v>
      </c>
      <c r="S23" s="35">
        <f>P23*'в часах'!Q40</f>
        <v>13036.329140625003</v>
      </c>
      <c r="T23" s="35">
        <f t="shared" si="2"/>
        <v>48886.234277343756</v>
      </c>
      <c r="U23" s="35">
        <f>17697*40%/16*'в часах'!S40</f>
        <v>0</v>
      </c>
      <c r="V23" s="48">
        <f>17697*20%/16*'в часах'!T40</f>
        <v>0</v>
      </c>
      <c r="W23" s="48">
        <f>17697*40%/16*'в часах'!U40</f>
        <v>0</v>
      </c>
      <c r="X23" s="48">
        <f>17697*25%/16*'в часах'!V40</f>
        <v>0</v>
      </c>
      <c r="Y23" s="48">
        <f>17697*50%/16*'в часах'!W40</f>
        <v>0</v>
      </c>
      <c r="Z23" s="48">
        <f>17697*20%/16*'в часах'!X40</f>
        <v>0</v>
      </c>
      <c r="AA23" s="48">
        <f>17697*40%/16*'в часах'!Y40</f>
        <v>0</v>
      </c>
      <c r="AB23" s="48">
        <f>17697*25%/16*'в часах'!Z40</f>
        <v>0</v>
      </c>
      <c r="AC23" s="48">
        <f>17697*50%/16*'в часах'!AA40</f>
        <v>0</v>
      </c>
      <c r="AD23" s="48">
        <f>17697*20%/16*'в часах'!AB40</f>
        <v>0</v>
      </c>
      <c r="AE23" s="48">
        <f>17697*40%/16*'в часах'!AC40</f>
        <v>0</v>
      </c>
      <c r="AF23" s="48">
        <f>17697*25%/16*'в часах'!AD40</f>
        <v>0</v>
      </c>
      <c r="AG23" s="48">
        <f>17697*50%/16*'в часах'!AE40</f>
        <v>0</v>
      </c>
      <c r="AH23" s="48">
        <f>17697*'в часах'!AF39</f>
        <v>0</v>
      </c>
      <c r="AI23" s="48">
        <f>17697*'в часах'!AG39</f>
        <v>0</v>
      </c>
      <c r="AJ23" s="48">
        <f>17697*'в часах'!AH39</f>
        <v>0</v>
      </c>
      <c r="AK23" s="48">
        <f>17697*'в часах'!AI39</f>
        <v>0</v>
      </c>
      <c r="AL23" s="48">
        <f>17697*'в часах'!AJ40</f>
        <v>0</v>
      </c>
      <c r="AM23" s="48">
        <f>17697*'в часах'!AK40</f>
        <v>0</v>
      </c>
      <c r="AN23" s="35"/>
      <c r="AO23" s="35">
        <f>R23*'в часах'!AM40</f>
        <v>0</v>
      </c>
      <c r="AP23" s="35">
        <f>R23*'в часах'!AN40</f>
        <v>0</v>
      </c>
      <c r="AQ23" s="35">
        <f>R23*'в часах'!AO40</f>
        <v>0</v>
      </c>
      <c r="AR23" s="35">
        <f>3063*'в часах'!AP40</f>
        <v>0</v>
      </c>
      <c r="AS23" s="35">
        <f>17697*'в часах'!AQ40</f>
        <v>0</v>
      </c>
      <c r="AT23" s="35">
        <f>17697*'в часах'!AR40</f>
        <v>17697</v>
      </c>
      <c r="AU23" s="35">
        <f>17697*'в часах'!AS40</f>
        <v>0</v>
      </c>
      <c r="AV23" s="35">
        <f>17697*'в часах'!AT40</f>
        <v>0</v>
      </c>
      <c r="AW23" s="35">
        <f>17697*'в часах'!AU40</f>
        <v>0</v>
      </c>
      <c r="AX23" s="49">
        <f t="shared" si="3"/>
        <v>79619.563417968762</v>
      </c>
      <c r="AY23" s="49">
        <f t="shared" si="9"/>
        <v>242573.67767578131</v>
      </c>
      <c r="AZ23" s="49">
        <v>12</v>
      </c>
      <c r="BA23" s="49">
        <f t="shared" si="10"/>
        <v>2910884.1321093757</v>
      </c>
      <c r="BB23" s="40"/>
    </row>
    <row r="24" spans="1:54" s="39" customFormat="1" ht="60" x14ac:dyDescent="0.2">
      <c r="A24" s="32">
        <f t="shared" si="6"/>
        <v>7</v>
      </c>
      <c r="B24" s="32" t="str">
        <f>'в часах'!B41</f>
        <v>Химченко Наталья Владимировна</v>
      </c>
      <c r="C24" s="32" t="str">
        <f>'в часах'!C41</f>
        <v>начальные классы</v>
      </c>
      <c r="D24" s="32" t="str">
        <f>'в часах'!D41</f>
        <v>Высшее Кокчетауский пед.инст</v>
      </c>
      <c r="E24" s="32" t="str">
        <f>'в часах'!E41</f>
        <v>26.00.05.</v>
      </c>
      <c r="F24" s="32" t="str">
        <f>'в часах'!F41</f>
        <v>педагог-исследователь № 68 от 12.07.2021</v>
      </c>
      <c r="G24" s="32" t="str">
        <f>'в часах'!G41</f>
        <v>B21 -25-30</v>
      </c>
      <c r="H24" s="32">
        <f>'в часах'!H41</f>
        <v>5.41</v>
      </c>
      <c r="I24" s="32">
        <f>'в часах'!I41</f>
        <v>1.75</v>
      </c>
      <c r="J24" s="45">
        <f>'в часах'!J41</f>
        <v>167546.3475</v>
      </c>
      <c r="K24" s="44">
        <f>'в часах'!K41</f>
        <v>1.0625</v>
      </c>
      <c r="L24" s="35">
        <f>J24/24*'в часах'!L41</f>
        <v>0</v>
      </c>
      <c r="M24" s="35">
        <f>J24/16*'в часах'!M41</f>
        <v>178017.99421875001</v>
      </c>
      <c r="N24" s="35">
        <f>J24/16*'в часах'!N41</f>
        <v>0</v>
      </c>
      <c r="O24" s="35">
        <f>J24/16*'в часах'!O41</f>
        <v>0</v>
      </c>
      <c r="P24" s="35">
        <f t="shared" si="7"/>
        <v>178017.99421875001</v>
      </c>
      <c r="Q24" s="47">
        <f>P24*'в часах'!P41</f>
        <v>44504.498554687503</v>
      </c>
      <c r="R24" s="47">
        <f t="shared" si="8"/>
        <v>222522.49277343752</v>
      </c>
      <c r="S24" s="35">
        <f>P24*'в часах'!Q41</f>
        <v>17801.799421875003</v>
      </c>
      <c r="T24" s="35">
        <f t="shared" si="2"/>
        <v>66756.747832031251</v>
      </c>
      <c r="U24" s="35">
        <f>17697*40%/16*'в часах'!S41</f>
        <v>0</v>
      </c>
      <c r="V24" s="48">
        <f>17697*20%/16*'в часах'!T41</f>
        <v>3096.9749999999999</v>
      </c>
      <c r="W24" s="48">
        <f>17697*40%/16*'в часах'!U41</f>
        <v>0</v>
      </c>
      <c r="X24" s="48">
        <f>17697*25%/16*'в часах'!V41</f>
        <v>0</v>
      </c>
      <c r="Y24" s="48">
        <f>17697*50%/16*'в часах'!W41</f>
        <v>0</v>
      </c>
      <c r="Z24" s="48">
        <f>17697*20%/16*'в часах'!X41</f>
        <v>0</v>
      </c>
      <c r="AA24" s="48">
        <f>17697*40%/16*'в часах'!Y41</f>
        <v>0</v>
      </c>
      <c r="AB24" s="48">
        <f>17697*25%/16*'в часах'!Z41</f>
        <v>0</v>
      </c>
      <c r="AC24" s="48">
        <f>17697*50%/16*'в часах'!AA41</f>
        <v>0</v>
      </c>
      <c r="AD24" s="48">
        <f>17697*20%/16*'в часах'!AB41</f>
        <v>0</v>
      </c>
      <c r="AE24" s="48">
        <f>17697*40%/16*'в часах'!AC41</f>
        <v>0</v>
      </c>
      <c r="AF24" s="48">
        <f>17697*25%/16*'в часах'!AD41</f>
        <v>0</v>
      </c>
      <c r="AG24" s="48">
        <f>17697*50%/16*'в часах'!AE41</f>
        <v>0</v>
      </c>
      <c r="AH24" s="48">
        <f>17697*'в часах'!AF40</f>
        <v>0</v>
      </c>
      <c r="AI24" s="48">
        <f>17697*'в часах'!AG40</f>
        <v>0</v>
      </c>
      <c r="AJ24" s="48">
        <f>17697*'в часах'!AH40</f>
        <v>0</v>
      </c>
      <c r="AK24" s="48">
        <f>17697*'в часах'!AI50</f>
        <v>10618.199999999999</v>
      </c>
      <c r="AL24" s="48">
        <f>17697*'в часах'!AJ41</f>
        <v>0</v>
      </c>
      <c r="AM24" s="48">
        <f>17697*'в часах'!AK41</f>
        <v>0</v>
      </c>
      <c r="AN24" s="35"/>
      <c r="AO24" s="35">
        <f>R24*'в часах'!AM41</f>
        <v>89008.997109375021</v>
      </c>
      <c r="AP24" s="35">
        <f>R24*'в часах'!AN41</f>
        <v>0</v>
      </c>
      <c r="AQ24" s="35">
        <f>R24*'в часах'!AO41</f>
        <v>0</v>
      </c>
      <c r="AR24" s="35">
        <f>3063*'в часах'!AP41</f>
        <v>0</v>
      </c>
      <c r="AS24" s="35">
        <f>17697*'в часах'!AQ41</f>
        <v>0</v>
      </c>
      <c r="AT24" s="35">
        <f>17697*'в часах'!AR41</f>
        <v>0</v>
      </c>
      <c r="AU24" s="35">
        <f>17697*'в часах'!AS41</f>
        <v>0</v>
      </c>
      <c r="AV24" s="35">
        <f>17697*'в часах'!AT41</f>
        <v>3539.4</v>
      </c>
      <c r="AW24" s="35">
        <f>17697*'в часах'!AU41</f>
        <v>0</v>
      </c>
      <c r="AX24" s="49">
        <f t="shared" si="3"/>
        <v>190822.11936328126</v>
      </c>
      <c r="AY24" s="49">
        <f t="shared" si="9"/>
        <v>413344.61213671882</v>
      </c>
      <c r="AZ24" s="49">
        <v>12</v>
      </c>
      <c r="BA24" s="49">
        <f t="shared" si="10"/>
        <v>4960135.3456406258</v>
      </c>
      <c r="BB24" s="40"/>
    </row>
    <row r="25" spans="1:54" s="38" customFormat="1" ht="60" x14ac:dyDescent="0.2">
      <c r="A25" s="32">
        <f t="shared" si="6"/>
        <v>8</v>
      </c>
      <c r="B25" s="32" t="str">
        <f>'в часах'!B42</f>
        <v>Ходаковская Виктория Юрьевна</v>
      </c>
      <c r="C25" s="32" t="str">
        <f>'в часах'!C42</f>
        <v>русский язык и литература</v>
      </c>
      <c r="D25" s="32" t="str">
        <f>'в часах'!D42</f>
        <v>Высшее Кокчетауский пед.инст, Омская гуманитарная академия</v>
      </c>
      <c r="E25" s="32" t="str">
        <f>'в часах'!E42</f>
        <v>18.00.03.</v>
      </c>
      <c r="F25" s="32" t="str">
        <f>'в часах'!F42</f>
        <v>педагог-модератор № 191 от 23.12.2020</v>
      </c>
      <c r="G25" s="32" t="str">
        <f>'в часах'!G42</f>
        <v>B23 - 16-20</v>
      </c>
      <c r="H25" s="32">
        <f>'в часах'!H42</f>
        <v>4.99</v>
      </c>
      <c r="I25" s="32">
        <f>'в часах'!I42</f>
        <v>1.75</v>
      </c>
      <c r="J25" s="45">
        <f>'в часах'!J42</f>
        <v>154539.05250000002</v>
      </c>
      <c r="K25" s="44">
        <f>'в часах'!K42</f>
        <v>0.75</v>
      </c>
      <c r="L25" s="35">
        <f>J25/24*'в часах'!L42</f>
        <v>0</v>
      </c>
      <c r="M25" s="35">
        <f>J25/16*'в часах'!M42</f>
        <v>0</v>
      </c>
      <c r="N25" s="35">
        <f>J25/16*'в часах'!N42</f>
        <v>96586.907812500009</v>
      </c>
      <c r="O25" s="35">
        <f>J25/16*'в часах'!O42</f>
        <v>19317.381562500002</v>
      </c>
      <c r="P25" s="35">
        <f t="shared" si="7"/>
        <v>115904.28937500001</v>
      </c>
      <c r="Q25" s="47">
        <f>P25*'в часах'!P42</f>
        <v>28976.072343750002</v>
      </c>
      <c r="R25" s="47">
        <f t="shared" si="8"/>
        <v>144880.36171875001</v>
      </c>
      <c r="S25" s="35">
        <f>P25*'в часах'!Q42</f>
        <v>11590.428937500001</v>
      </c>
      <c r="T25" s="35">
        <f t="shared" si="2"/>
        <v>43464.108515624997</v>
      </c>
      <c r="U25" s="35">
        <f>17697*40%/16*'в часах'!S42</f>
        <v>0</v>
      </c>
      <c r="V25" s="48">
        <f>17697*20%/16*'в часах'!T42</f>
        <v>0</v>
      </c>
      <c r="W25" s="48">
        <f>17697*40%/16*'в часах'!U42</f>
        <v>0</v>
      </c>
      <c r="X25" s="48">
        <f>17697*25%/16*'в часах'!V42</f>
        <v>0</v>
      </c>
      <c r="Y25" s="48">
        <f>17697*50%/16*'в часах'!W42</f>
        <v>0</v>
      </c>
      <c r="Z25" s="48">
        <f>17697*20%/16*'в часах'!X42</f>
        <v>0</v>
      </c>
      <c r="AA25" s="48">
        <f>17697*40%/16*'в часах'!Y42</f>
        <v>0</v>
      </c>
      <c r="AB25" s="48">
        <f>17697*25%/16*'в часах'!Z42</f>
        <v>1382.578125</v>
      </c>
      <c r="AC25" s="48">
        <f>17697*50%/16*'в часах'!AA42</f>
        <v>2765.15625</v>
      </c>
      <c r="AD25" s="48">
        <f>17697*20%/16*'в часах'!AB42</f>
        <v>0</v>
      </c>
      <c r="AE25" s="48">
        <f>17697*40%/16*'в часах'!AC42</f>
        <v>0</v>
      </c>
      <c r="AF25" s="48">
        <f>17697*25%/16*'в часах'!AD42</f>
        <v>553.03125</v>
      </c>
      <c r="AG25" s="48">
        <f>17697*50%/16*'в часах'!AE42</f>
        <v>0</v>
      </c>
      <c r="AH25" s="48">
        <f>17697*'в часах'!AF41</f>
        <v>4424.25</v>
      </c>
      <c r="AI25" s="48">
        <f>17697*'в часах'!AG41</f>
        <v>0</v>
      </c>
      <c r="AJ25" s="48">
        <f>17697*'в часах'!AH41</f>
        <v>0</v>
      </c>
      <c r="AK25" s="48">
        <f>17697*'в часах'!AI41</f>
        <v>0</v>
      </c>
      <c r="AL25" s="48">
        <f>17697*'в часах'!AJ42</f>
        <v>0</v>
      </c>
      <c r="AM25" s="48">
        <f>17697*'в часах'!AK42</f>
        <v>0</v>
      </c>
      <c r="AN25" s="35"/>
      <c r="AO25" s="35">
        <f>R25*'в часах'!AM42</f>
        <v>0</v>
      </c>
      <c r="AP25" s="35">
        <f>R25*'в часах'!AN42</f>
        <v>0</v>
      </c>
      <c r="AQ25" s="35">
        <f>R25*'в часах'!AO42</f>
        <v>43464.108515624997</v>
      </c>
      <c r="AR25" s="35">
        <f>3063*'в часах'!AP42</f>
        <v>0</v>
      </c>
      <c r="AS25" s="35">
        <f>17697*'в часах'!AQ42</f>
        <v>0</v>
      </c>
      <c r="AT25" s="35">
        <f>17697*'в часах'!AR42</f>
        <v>0</v>
      </c>
      <c r="AU25" s="35">
        <f>17697*'в часах'!AS42</f>
        <v>0</v>
      </c>
      <c r="AV25" s="35">
        <f>17697*'в часах'!AT42</f>
        <v>0</v>
      </c>
      <c r="AW25" s="35">
        <f>17697*'в часах'!AU42</f>
        <v>0</v>
      </c>
      <c r="AX25" s="49">
        <f t="shared" si="3"/>
        <v>107643.66159375</v>
      </c>
      <c r="AY25" s="49">
        <f t="shared" si="9"/>
        <v>252524.02331250001</v>
      </c>
      <c r="AZ25" s="49">
        <v>12</v>
      </c>
      <c r="BA25" s="49">
        <f t="shared" si="10"/>
        <v>3030288.2797500002</v>
      </c>
      <c r="BB25" s="40"/>
    </row>
    <row r="26" spans="1:54" s="38" customFormat="1" ht="60" x14ac:dyDescent="0.2">
      <c r="A26" s="32">
        <f t="shared" si="6"/>
        <v>9</v>
      </c>
      <c r="B26" s="32" t="str">
        <f>'в часах'!B43</f>
        <v xml:space="preserve">вакансия\русский язык и литература </v>
      </c>
      <c r="C26" s="32" t="str">
        <f>'в часах'!C43</f>
        <v>русский язык и литература</v>
      </c>
      <c r="D26" s="32" t="str">
        <f>'в часах'!D43</f>
        <v>Высшее Кокчетауский пед.инст, Омская гуманитарная академия</v>
      </c>
      <c r="E26" s="32" t="str">
        <f>'в часах'!E43</f>
        <v>18.00.03.</v>
      </c>
      <c r="F26" s="32" t="str">
        <f>'в часах'!F43</f>
        <v>педагог-модератор № 191 от 23.12.2021</v>
      </c>
      <c r="G26" s="32" t="str">
        <f>'в часах'!G43</f>
        <v>B23 - 16-20</v>
      </c>
      <c r="H26" s="32">
        <f>'в часах'!H43</f>
        <v>4.99</v>
      </c>
      <c r="I26" s="32">
        <f>'в часах'!I43</f>
        <v>1.75</v>
      </c>
      <c r="J26" s="45">
        <f>'в часах'!J43</f>
        <v>154539.05250000002</v>
      </c>
      <c r="K26" s="44">
        <f>'в часах'!K43</f>
        <v>6.25E-2</v>
      </c>
      <c r="L26" s="35">
        <f>J26/24*'в часах'!L43</f>
        <v>0</v>
      </c>
      <c r="M26" s="35">
        <f>J26/16*'в часах'!M43</f>
        <v>0</v>
      </c>
      <c r="N26" s="35">
        <f>J26/16*'в часах'!N43</f>
        <v>0</v>
      </c>
      <c r="O26" s="35">
        <f>J26/16*'в часах'!O43</f>
        <v>9658.6907812500012</v>
      </c>
      <c r="P26" s="35">
        <f t="shared" si="7"/>
        <v>9658.6907812500012</v>
      </c>
      <c r="Q26" s="47">
        <f>P26*'в часах'!P43</f>
        <v>2414.6726953125003</v>
      </c>
      <c r="R26" s="47">
        <f t="shared" si="8"/>
        <v>12073.363476562501</v>
      </c>
      <c r="S26" s="35">
        <f>P26*'в часах'!Q43</f>
        <v>965.86907812500021</v>
      </c>
      <c r="T26" s="35">
        <f t="shared" si="2"/>
        <v>3622.0090429687502</v>
      </c>
      <c r="U26" s="35">
        <f>17697*40%/16*'в часах'!S43</f>
        <v>0</v>
      </c>
      <c r="V26" s="48">
        <f>17697*20%/16*'в часах'!T43</f>
        <v>0</v>
      </c>
      <c r="W26" s="48">
        <f>17697*40%/16*'в часах'!U43</f>
        <v>0</v>
      </c>
      <c r="X26" s="48">
        <f>17697*25%/16*'в часах'!V43</f>
        <v>0</v>
      </c>
      <c r="Y26" s="48">
        <f>17697*50%/16*'в часах'!W43</f>
        <v>0</v>
      </c>
      <c r="Z26" s="48">
        <f>17697*20%/16*'в часах'!X43</f>
        <v>0</v>
      </c>
      <c r="AA26" s="48">
        <f>17697*40%/16*'в часах'!Y43</f>
        <v>0</v>
      </c>
      <c r="AB26" s="48">
        <f>17697*25%/16*'в часах'!Z43</f>
        <v>0</v>
      </c>
      <c r="AC26" s="48">
        <f>17697*50%/16*'в часах'!AA43</f>
        <v>0</v>
      </c>
      <c r="AD26" s="48">
        <f>17697*20%/16*'в часах'!AB43</f>
        <v>0</v>
      </c>
      <c r="AE26" s="48">
        <f>17697*40%/16*'в часах'!AC43</f>
        <v>0</v>
      </c>
      <c r="AF26" s="48">
        <f>17697*25%/16*'в часах'!AD43</f>
        <v>276.515625</v>
      </c>
      <c r="AG26" s="48">
        <f>17697*50%/16*'в часах'!AE43</f>
        <v>0</v>
      </c>
      <c r="AH26" s="48">
        <f>17697*'в часах'!AF42</f>
        <v>0</v>
      </c>
      <c r="AI26" s="48">
        <f>17697*'в часах'!AG42</f>
        <v>0</v>
      </c>
      <c r="AJ26" s="48">
        <f>17697*'в часах'!AH42</f>
        <v>5309.0999999999995</v>
      </c>
      <c r="AK26" s="48">
        <f>17697*'в часах'!AI42</f>
        <v>0</v>
      </c>
      <c r="AL26" s="48">
        <f>17697*'в часах'!AJ43</f>
        <v>0</v>
      </c>
      <c r="AM26" s="48">
        <f>17697*'в часах'!AK43</f>
        <v>0</v>
      </c>
      <c r="AN26" s="35"/>
      <c r="AO26" s="35">
        <f>R26*'в часах'!AM43</f>
        <v>0</v>
      </c>
      <c r="AP26" s="35">
        <f>R26*'в часах'!AN43</f>
        <v>0</v>
      </c>
      <c r="AQ26" s="35">
        <f>R26*'в часах'!AO43</f>
        <v>3622.0090429687502</v>
      </c>
      <c r="AR26" s="35">
        <f>3063*'в часах'!AP43</f>
        <v>0</v>
      </c>
      <c r="AS26" s="35">
        <f>17697*'в часах'!AQ43</f>
        <v>0</v>
      </c>
      <c r="AT26" s="35">
        <f>17697*'в часах'!AR43</f>
        <v>0</v>
      </c>
      <c r="AU26" s="35">
        <f>17697*'в часах'!AS43</f>
        <v>0</v>
      </c>
      <c r="AV26" s="35">
        <f>17697*'в часах'!AT43</f>
        <v>0</v>
      </c>
      <c r="AW26" s="35">
        <f>17697*'в часах'!AU43</f>
        <v>0</v>
      </c>
      <c r="AX26" s="49">
        <f t="shared" si="3"/>
        <v>13795.502789062501</v>
      </c>
      <c r="AY26" s="49">
        <f t="shared" si="9"/>
        <v>25868.866265625002</v>
      </c>
      <c r="AZ26" s="49">
        <v>12</v>
      </c>
      <c r="BA26" s="49">
        <f t="shared" si="10"/>
        <v>310426.39518750005</v>
      </c>
      <c r="BB26" s="40"/>
    </row>
    <row r="27" spans="1:54" s="38" customFormat="1" ht="60" x14ac:dyDescent="0.2">
      <c r="A27" s="32">
        <f t="shared" si="6"/>
        <v>10</v>
      </c>
      <c r="B27" s="32" t="str">
        <f>'в часах'!B44</f>
        <v>Ходаковская Виктория Юрьевна</v>
      </c>
      <c r="C27" s="32" t="str">
        <f>'в часах'!C44</f>
        <v>география</v>
      </c>
      <c r="D27" s="32" t="str">
        <f>'в часах'!D44</f>
        <v>Высшее Кокчетауский пед.инст, Омская гуманитарная академия</v>
      </c>
      <c r="E27" s="32" t="str">
        <f>'в часах'!E44</f>
        <v>18.00.03.</v>
      </c>
      <c r="F27" s="32" t="str">
        <f>'в часах'!F44</f>
        <v xml:space="preserve">педагог-эксперт№ 197/а от 27.07.2020   </v>
      </c>
      <c r="G27" s="32" t="str">
        <f>'в часах'!G44</f>
        <v>B22 - 16-20</v>
      </c>
      <c r="H27" s="32">
        <f>'в часах'!H44</f>
        <v>5.03</v>
      </c>
      <c r="I27" s="32">
        <f>'в часах'!I44</f>
        <v>1.75</v>
      </c>
      <c r="J27" s="45">
        <f>'в часах'!J44</f>
        <v>155777.8425</v>
      </c>
      <c r="K27" s="44">
        <f>'в часах'!K44</f>
        <v>0.75</v>
      </c>
      <c r="L27" s="35">
        <f>J27/24*'в часах'!L44</f>
        <v>0</v>
      </c>
      <c r="M27" s="35">
        <f>J27/16*'в часах'!M44</f>
        <v>0</v>
      </c>
      <c r="N27" s="35">
        <f>J27/16*'в часах'!N44</f>
        <v>58416.690937499996</v>
      </c>
      <c r="O27" s="35">
        <f>J27/16*'в часах'!O44</f>
        <v>58416.690937499996</v>
      </c>
      <c r="P27" s="35">
        <f t="shared" si="7"/>
        <v>116833.38187499999</v>
      </c>
      <c r="Q27" s="47">
        <f>P27*'в часах'!P44</f>
        <v>29208.345468749998</v>
      </c>
      <c r="R27" s="47">
        <f t="shared" si="8"/>
        <v>146041.72734374998</v>
      </c>
      <c r="S27" s="35">
        <f>P27*'в часах'!Q44</f>
        <v>11683.3381875</v>
      </c>
      <c r="T27" s="35">
        <f t="shared" si="2"/>
        <v>43812.518203124993</v>
      </c>
      <c r="U27" s="35">
        <f>17697*40%/16*'в часах'!S44</f>
        <v>0</v>
      </c>
      <c r="V27" s="48">
        <f>17697*20%/16*'в часах'!T44</f>
        <v>0</v>
      </c>
      <c r="W27" s="48">
        <f>17697*40%/16*'в часах'!U44</f>
        <v>0</v>
      </c>
      <c r="X27" s="48">
        <f>17697*25%/16*'в часах'!V44</f>
        <v>0</v>
      </c>
      <c r="Y27" s="48">
        <f>17697*50%/16*'в часах'!W44</f>
        <v>0</v>
      </c>
      <c r="Z27" s="48">
        <f>17697*20%/16*'в часах'!X44</f>
        <v>0</v>
      </c>
      <c r="AA27" s="48">
        <f>17697*40%/16*'в часах'!Y44</f>
        <v>0</v>
      </c>
      <c r="AB27" s="48">
        <f>17697*25%/16*'в часах'!Z44</f>
        <v>0</v>
      </c>
      <c r="AC27" s="48">
        <f>17697*50%/16*'в часах'!AA44</f>
        <v>0</v>
      </c>
      <c r="AD27" s="48">
        <f>17697*20%/16*'в часах'!AB44</f>
        <v>0</v>
      </c>
      <c r="AE27" s="48">
        <f>17697*40%/16*'в часах'!AC44</f>
        <v>0</v>
      </c>
      <c r="AF27" s="48">
        <f>17697*25%/16*'в часах'!AD44</f>
        <v>0</v>
      </c>
      <c r="AG27" s="48">
        <f>17697*50%/16*'в часах'!AE44</f>
        <v>0</v>
      </c>
      <c r="AH27" s="48">
        <f>17697*'в часах'!AF43</f>
        <v>0</v>
      </c>
      <c r="AI27" s="48">
        <f>17697*'в часах'!AG43</f>
        <v>0</v>
      </c>
      <c r="AJ27" s="48">
        <f>17697*'в часах'!AH43</f>
        <v>0</v>
      </c>
      <c r="AK27" s="48">
        <f>17697*'в часах'!AI43</f>
        <v>0</v>
      </c>
      <c r="AL27" s="48">
        <f>17697*'в часах'!AJ44</f>
        <v>0</v>
      </c>
      <c r="AM27" s="48">
        <f>17697*'в часах'!AK44</f>
        <v>0</v>
      </c>
      <c r="AN27" s="35"/>
      <c r="AO27" s="35">
        <f>R27*'в часах'!AM44</f>
        <v>0</v>
      </c>
      <c r="AP27" s="35">
        <f>R27*'в часах'!AN44</f>
        <v>51114.604570312491</v>
      </c>
      <c r="AQ27" s="35">
        <f>R27*'в часах'!AO44</f>
        <v>0</v>
      </c>
      <c r="AR27" s="35">
        <f>3063*'в часах'!AP44</f>
        <v>0</v>
      </c>
      <c r="AS27" s="35">
        <f>17697*'в часах'!AQ44</f>
        <v>0</v>
      </c>
      <c r="AT27" s="35">
        <f>17697*'в часах'!AR44</f>
        <v>0</v>
      </c>
      <c r="AU27" s="35">
        <f>17697*'в часах'!AS44</f>
        <v>0</v>
      </c>
      <c r="AV27" s="35">
        <f>17697*'в часах'!AT44</f>
        <v>3539.4</v>
      </c>
      <c r="AW27" s="35">
        <f>17697*'в часах'!AU44</f>
        <v>0</v>
      </c>
      <c r="AX27" s="49">
        <f t="shared" si="3"/>
        <v>110149.86096093748</v>
      </c>
      <c r="AY27" s="49">
        <f t="shared" si="9"/>
        <v>256191.58830468747</v>
      </c>
      <c r="AZ27" s="49">
        <v>12</v>
      </c>
      <c r="BA27" s="49">
        <f t="shared" si="10"/>
        <v>3074299.0596562494</v>
      </c>
      <c r="BB27" s="40"/>
    </row>
    <row r="28" spans="1:54" s="38" customFormat="1" ht="48" x14ac:dyDescent="0.2">
      <c r="A28" s="32">
        <f t="shared" si="6"/>
        <v>11</v>
      </c>
      <c r="B28" s="32" t="str">
        <f>'в часах'!B45</f>
        <v>Шиленкова Вера Ивановна</v>
      </c>
      <c r="C28" s="32" t="str">
        <f>'в часах'!C45</f>
        <v>математика</v>
      </c>
      <c r="D28" s="32" t="str">
        <f>'в часах'!D45</f>
        <v>высшее. Целиноградский пед.</v>
      </c>
      <c r="E28" s="32" t="str">
        <f>'в часах'!E45</f>
        <v>43.00.23</v>
      </c>
      <c r="F28" s="32" t="str">
        <f>'в часах'!F45</f>
        <v>педагог  - эксперт № 197/а от 27.07.2020</v>
      </c>
      <c r="G28" s="32" t="str">
        <f>'в часах'!G45</f>
        <v>B22 - 3000</v>
      </c>
      <c r="H28" s="32">
        <f>'в часах'!H45</f>
        <v>5.2</v>
      </c>
      <c r="I28" s="32">
        <f>'в часах'!I45</f>
        <v>1.75</v>
      </c>
      <c r="J28" s="45">
        <f>'в часах'!J45</f>
        <v>161042.70000000001</v>
      </c>
      <c r="K28" s="44">
        <f>'в часах'!K45</f>
        <v>0.9375</v>
      </c>
      <c r="L28" s="35">
        <f>J28/24*'в часах'!L45</f>
        <v>0</v>
      </c>
      <c r="M28" s="35">
        <f>J28/16*'в часах'!M45</f>
        <v>0</v>
      </c>
      <c r="N28" s="35">
        <f>J28/16*'в часах'!N45</f>
        <v>150977.53125</v>
      </c>
      <c r="O28" s="35">
        <f>J28/16*'в часах'!O45</f>
        <v>0</v>
      </c>
      <c r="P28" s="35">
        <f t="shared" si="7"/>
        <v>150977.53125</v>
      </c>
      <c r="Q28" s="47">
        <f>P28*'в часах'!P45</f>
        <v>37744.3828125</v>
      </c>
      <c r="R28" s="47">
        <f t="shared" si="8"/>
        <v>188721.9140625</v>
      </c>
      <c r="S28" s="35">
        <f>P28*'в часах'!Q45</f>
        <v>15097.753125000001</v>
      </c>
      <c r="T28" s="35">
        <f t="shared" si="2"/>
        <v>56616.57421875</v>
      </c>
      <c r="U28" s="35">
        <f>17697*40%/16*'в часах'!S45</f>
        <v>0</v>
      </c>
      <c r="V28" s="48">
        <f>17697*20%/16*'в часах'!T45</f>
        <v>0</v>
      </c>
      <c r="W28" s="48">
        <f>17697*40%/16*'в часах'!U45</f>
        <v>0</v>
      </c>
      <c r="X28" s="48">
        <f>17697*25%/16*'в часах'!V45</f>
        <v>0</v>
      </c>
      <c r="Y28" s="48">
        <f>17697*50%/16*'в часах'!W45</f>
        <v>0</v>
      </c>
      <c r="Z28" s="48">
        <f>17697*20%/16*'в часах'!X45</f>
        <v>1106.0625</v>
      </c>
      <c r="AA28" s="48">
        <f>17697*40%/16*'в часах'!Y45</f>
        <v>4424.25</v>
      </c>
      <c r="AB28" s="48">
        <f>17697*25%/16*'в часах'!Z45</f>
        <v>0</v>
      </c>
      <c r="AC28" s="48">
        <f>17697*50%/16*'в часах'!AA45</f>
        <v>0</v>
      </c>
      <c r="AD28" s="48">
        <f>17697*20%/16*'в часах'!AB45</f>
        <v>0</v>
      </c>
      <c r="AE28" s="48">
        <f>17697*40%/16*'в часах'!AC45</f>
        <v>0</v>
      </c>
      <c r="AF28" s="48">
        <f>17697*25%/16*'в часах'!AD45</f>
        <v>0</v>
      </c>
      <c r="AG28" s="48">
        <f>17697*50%/16*'в часах'!AE45</f>
        <v>0</v>
      </c>
      <c r="AH28" s="48">
        <f>17697*'в часах'!AF44</f>
        <v>0</v>
      </c>
      <c r="AI28" s="48">
        <f>17697*'в часах'!AG44</f>
        <v>0</v>
      </c>
      <c r="AJ28" s="48">
        <f>17697*'в часах'!AH44</f>
        <v>0</v>
      </c>
      <c r="AK28" s="48">
        <f>17697*'в часах'!AI44</f>
        <v>0</v>
      </c>
      <c r="AL28" s="48">
        <f>17697*'в часах'!AJ45</f>
        <v>0</v>
      </c>
      <c r="AM28" s="48">
        <f>17697*'в часах'!AK45</f>
        <v>0</v>
      </c>
      <c r="AN28" s="35"/>
      <c r="AO28" s="35">
        <f>R28*'в часах'!AM45</f>
        <v>0</v>
      </c>
      <c r="AP28" s="35">
        <f>R28*'в часах'!AN45</f>
        <v>66052.669921875</v>
      </c>
      <c r="AQ28" s="35">
        <f>R28*'в часах'!AO45</f>
        <v>0</v>
      </c>
      <c r="AR28" s="35">
        <f>3063*'в часах'!AP45</f>
        <v>0</v>
      </c>
      <c r="AS28" s="35">
        <f>17697*'в часах'!AQ45</f>
        <v>0</v>
      </c>
      <c r="AT28" s="35">
        <f>17697*'в часах'!AR45</f>
        <v>0</v>
      </c>
      <c r="AU28" s="35">
        <f>17697*'в часах'!AS45</f>
        <v>0</v>
      </c>
      <c r="AV28" s="35">
        <f>17697*'в часах'!AT45</f>
        <v>3539.4</v>
      </c>
      <c r="AW28" s="35">
        <f>17697*'в часах'!AU45</f>
        <v>0</v>
      </c>
      <c r="AX28" s="49">
        <f t="shared" si="3"/>
        <v>146836.70976562498</v>
      </c>
      <c r="AY28" s="49">
        <f t="shared" si="9"/>
        <v>335558.62382812495</v>
      </c>
      <c r="AZ28" s="49">
        <v>12</v>
      </c>
      <c r="BA28" s="49">
        <f t="shared" si="10"/>
        <v>4026703.4859374994</v>
      </c>
      <c r="BB28" s="40"/>
    </row>
    <row r="29" spans="1:54" s="38" customFormat="1" ht="60" x14ac:dyDescent="0.2">
      <c r="A29" s="32">
        <f t="shared" si="6"/>
        <v>12</v>
      </c>
      <c r="B29" s="32" t="str">
        <f>'в часах'!B46</f>
        <v>Марченко Сергей Николаевич</v>
      </c>
      <c r="C29" s="32" t="str">
        <f>'в часах'!C46</f>
        <v>физика</v>
      </c>
      <c r="D29" s="32" t="str">
        <f>'в часах'!D46</f>
        <v>высшее Кокшетауский государственный университет им№ Ш.Уалиханова 2004</v>
      </c>
      <c r="E29" s="32" t="str">
        <f>'в часах'!E46</f>
        <v>23.08,10</v>
      </c>
      <c r="F29" s="32" t="str">
        <f>'в часах'!F46</f>
        <v>б\к</v>
      </c>
      <c r="G29" s="32" t="str">
        <f>'в часах'!G46</f>
        <v>В24-20-25</v>
      </c>
      <c r="H29" s="32">
        <f>'в часах'!H46</f>
        <v>4.67</v>
      </c>
      <c r="I29" s="32">
        <f>'в часах'!I46</f>
        <v>1.75</v>
      </c>
      <c r="J29" s="45">
        <f>'в часах'!J46</f>
        <v>144628.73249999998</v>
      </c>
      <c r="K29" s="44">
        <f>'в часах'!K46</f>
        <v>0.5</v>
      </c>
      <c r="L29" s="35">
        <f>J29/24*'в часах'!L46</f>
        <v>0</v>
      </c>
      <c r="M29" s="35">
        <f>J29/16*'в часах'!M46</f>
        <v>0</v>
      </c>
      <c r="N29" s="35">
        <f>J29/16*'в часах'!N46</f>
        <v>54235.774687499994</v>
      </c>
      <c r="O29" s="35">
        <f>J29/16*'в часах'!O46</f>
        <v>18078.591562499998</v>
      </c>
      <c r="P29" s="35">
        <f t="shared" si="7"/>
        <v>72314.366249999992</v>
      </c>
      <c r="Q29" s="47">
        <f>P29*'в часах'!P46</f>
        <v>18078.591562499998</v>
      </c>
      <c r="R29" s="47">
        <f t="shared" si="8"/>
        <v>90392.957812499983</v>
      </c>
      <c r="S29" s="35">
        <f>P29*'в часах'!Q46</f>
        <v>7231.4366249999994</v>
      </c>
      <c r="T29" s="35">
        <f t="shared" si="2"/>
        <v>27117.887343749993</v>
      </c>
      <c r="U29" s="35">
        <f>17697*40%/16*'в часах'!S46</f>
        <v>0</v>
      </c>
      <c r="V29" s="48">
        <f>17697*20%/16*'в часах'!T46</f>
        <v>0</v>
      </c>
      <c r="W29" s="48">
        <f>17697*40%/16*'в часах'!U46</f>
        <v>0</v>
      </c>
      <c r="X29" s="48">
        <f>17697*25%/16*'в часах'!V46</f>
        <v>0</v>
      </c>
      <c r="Y29" s="48">
        <f>17697*50%/16*'в часах'!W46</f>
        <v>0</v>
      </c>
      <c r="Z29" s="48">
        <f>17697*20%/16*'в часах'!X46</f>
        <v>442.42500000000001</v>
      </c>
      <c r="AA29" s="48">
        <f>17697*40%/16*'в часах'!Y46</f>
        <v>1769.7</v>
      </c>
      <c r="AB29" s="48">
        <f>17697*25%/16*'в часах'!Z46</f>
        <v>0</v>
      </c>
      <c r="AC29" s="48">
        <f>17697*50%/16*'в часах'!AA46</f>
        <v>0</v>
      </c>
      <c r="AD29" s="48">
        <f>17697*20%/16*'в часах'!AB46</f>
        <v>0</v>
      </c>
      <c r="AE29" s="48">
        <f>17697*40%/16*'в часах'!AC46</f>
        <v>0</v>
      </c>
      <c r="AF29" s="48">
        <f>17697*25%/16*'в часах'!AD46</f>
        <v>0</v>
      </c>
      <c r="AG29" s="48">
        <f>17697*50%/16*'в часах'!AE46</f>
        <v>0</v>
      </c>
      <c r="AH29" s="48">
        <f>17697*'в часах'!AF45</f>
        <v>0</v>
      </c>
      <c r="AI29" s="48">
        <f>17697*'в часах'!AG45</f>
        <v>0</v>
      </c>
      <c r="AJ29" s="48">
        <f>17697*'в часах'!AH45</f>
        <v>0</v>
      </c>
      <c r="AK29" s="48">
        <f>17697*'в часах'!AI45</f>
        <v>0</v>
      </c>
      <c r="AL29" s="48">
        <f>17697*'в часах'!AJ46</f>
        <v>0</v>
      </c>
      <c r="AM29" s="48">
        <f>17697*'в часах'!AK46</f>
        <v>0</v>
      </c>
      <c r="AN29" s="35"/>
      <c r="AO29" s="35">
        <f>R29*'в часах'!AM46</f>
        <v>0</v>
      </c>
      <c r="AP29" s="35">
        <f>R29*'в часах'!AN46</f>
        <v>0</v>
      </c>
      <c r="AQ29" s="35">
        <f>R29*'в часах'!AO46</f>
        <v>0</v>
      </c>
      <c r="AR29" s="35">
        <f>3063*'в часах'!AP46</f>
        <v>0</v>
      </c>
      <c r="AS29" s="35">
        <f>17697*'в часах'!AQ46</f>
        <v>0</v>
      </c>
      <c r="AT29" s="35">
        <f>17697*'в часах'!AR46</f>
        <v>0</v>
      </c>
      <c r="AU29" s="35">
        <f>17697*'в часах'!AS46</f>
        <v>0</v>
      </c>
      <c r="AV29" s="35">
        <f>17697*'в часах'!AT46</f>
        <v>0</v>
      </c>
      <c r="AW29" s="35">
        <f>17697*'в часах'!AU46</f>
        <v>0</v>
      </c>
      <c r="AX29" s="49">
        <f t="shared" si="3"/>
        <v>36561.448968749995</v>
      </c>
      <c r="AY29" s="49">
        <f t="shared" si="9"/>
        <v>126954.40678124997</v>
      </c>
      <c r="AZ29" s="49">
        <v>12</v>
      </c>
      <c r="BA29" s="49">
        <f t="shared" si="10"/>
        <v>1523452.8813749996</v>
      </c>
      <c r="BB29" s="40"/>
    </row>
    <row r="30" spans="1:54" s="38" customFormat="1" ht="48" x14ac:dyDescent="0.2">
      <c r="A30" s="32">
        <f t="shared" si="6"/>
        <v>13</v>
      </c>
      <c r="B30" s="32" t="str">
        <f>'в часах'!B47</f>
        <v>Тиржанова Акмарал Дауренбековна</v>
      </c>
      <c r="C30" s="32" t="str">
        <f>'в часах'!C47</f>
        <v>информатика</v>
      </c>
      <c r="D30" s="32" t="str">
        <f>'в часах'!D47</f>
        <v>высшее. Кокшетауский университет имени А. Мырзахметова.</v>
      </c>
      <c r="E30" s="32" t="str">
        <f>'в часах'!E47</f>
        <v>02.00.07.</v>
      </c>
      <c r="F30" s="32" t="str">
        <f>'в часах'!F47</f>
        <v>педагог-модератор №193 от 01.09.2021</v>
      </c>
      <c r="G30" s="32" t="str">
        <f>'в часах'!G47</f>
        <v>B23 - 02-03</v>
      </c>
      <c r="H30" s="32">
        <f>'в часах'!H47</f>
        <v>4.51</v>
      </c>
      <c r="I30" s="32">
        <f>'в часах'!I47</f>
        <v>1.75</v>
      </c>
      <c r="J30" s="45">
        <f>'в часах'!J47</f>
        <v>139673.57249999998</v>
      </c>
      <c r="K30" s="44">
        <f>'в часах'!K47</f>
        <v>0.78125</v>
      </c>
      <c r="L30" s="35">
        <f>J30/24*'в часах'!L47</f>
        <v>0</v>
      </c>
      <c r="M30" s="35">
        <f>J30/16*'в часах'!M47</f>
        <v>30553.593984374995</v>
      </c>
      <c r="N30" s="35">
        <f>J30/16*'в часах'!N47</f>
        <v>43647.991406249996</v>
      </c>
      <c r="O30" s="35">
        <f>J30/16*'в часах'!O47</f>
        <v>34918.393124999995</v>
      </c>
      <c r="P30" s="35">
        <f t="shared" si="7"/>
        <v>109119.978515625</v>
      </c>
      <c r="Q30" s="47">
        <f>P30*'в часах'!P47</f>
        <v>27279.99462890625</v>
      </c>
      <c r="R30" s="47">
        <f t="shared" si="8"/>
        <v>136399.97314453125</v>
      </c>
      <c r="S30" s="35">
        <f>P30*'в часах'!Q47</f>
        <v>10911.997851562501</v>
      </c>
      <c r="T30" s="35">
        <f t="shared" si="2"/>
        <v>40919.991943359375</v>
      </c>
      <c r="U30" s="35">
        <f>17697*40%/16*'в часах'!S47</f>
        <v>0</v>
      </c>
      <c r="V30" s="48">
        <f>17697*20%/16*'в часах'!T47</f>
        <v>0</v>
      </c>
      <c r="W30" s="48">
        <f>17697*40%/16*'в часах'!U47</f>
        <v>0</v>
      </c>
      <c r="X30" s="48">
        <f>17697*25%/16*'в часах'!V47</f>
        <v>0</v>
      </c>
      <c r="Y30" s="48">
        <f>17697*50%/16*'в часах'!W47</f>
        <v>0</v>
      </c>
      <c r="Z30" s="48">
        <f>17697*20%/16*'в часах'!X47</f>
        <v>0</v>
      </c>
      <c r="AA30" s="48">
        <f>17697*40%/16*'в часах'!Y47</f>
        <v>0</v>
      </c>
      <c r="AB30" s="48">
        <f>17697*25%/16*'в часах'!Z47</f>
        <v>0</v>
      </c>
      <c r="AC30" s="48">
        <f>17697*50%/16*'в часах'!AA47</f>
        <v>0</v>
      </c>
      <c r="AD30" s="48">
        <f>17697*20%/16*'в часах'!AB47</f>
        <v>0</v>
      </c>
      <c r="AE30" s="48">
        <f>17697*40%/16*'в часах'!AC47</f>
        <v>0</v>
      </c>
      <c r="AF30" s="48">
        <f>17697*25%/16*'в часах'!AD47</f>
        <v>0</v>
      </c>
      <c r="AG30" s="48">
        <f>17697*50%/16*'в часах'!AE47</f>
        <v>0</v>
      </c>
      <c r="AH30" s="48">
        <f>17697*'в часах'!AF46</f>
        <v>0</v>
      </c>
      <c r="AI30" s="48">
        <f>17697*'в часах'!AG46</f>
        <v>0</v>
      </c>
      <c r="AJ30" s="48">
        <f>17697*'в часах'!AH46</f>
        <v>0</v>
      </c>
      <c r="AK30" s="48">
        <f>17697*'в часах'!AI46</f>
        <v>0</v>
      </c>
      <c r="AL30" s="48">
        <f>17697*'в часах'!AJ47</f>
        <v>0</v>
      </c>
      <c r="AM30" s="48">
        <f>17697*'в часах'!AK47</f>
        <v>5309.0999999999995</v>
      </c>
      <c r="AN30" s="35"/>
      <c r="AO30" s="35">
        <f>R30*'в часах'!AM47</f>
        <v>0</v>
      </c>
      <c r="AP30" s="35">
        <f>R30*'в часах'!AN47</f>
        <v>0</v>
      </c>
      <c r="AQ30" s="35">
        <f>R30*'в часах'!AO47</f>
        <v>40919.991943359375</v>
      </c>
      <c r="AR30" s="35">
        <f>3063*'в часах'!AP47</f>
        <v>0</v>
      </c>
      <c r="AS30" s="35">
        <f>17697*'в часах'!AQ47</f>
        <v>0</v>
      </c>
      <c r="AT30" s="35">
        <f>17697*'в часах'!AR47</f>
        <v>0</v>
      </c>
      <c r="AU30" s="35">
        <f>17697*'в часах'!AS47</f>
        <v>0</v>
      </c>
      <c r="AV30" s="35">
        <f>17697*'в часах'!AT47</f>
        <v>3539.4</v>
      </c>
      <c r="AW30" s="35">
        <f>17697*'в часах'!AU47</f>
        <v>0</v>
      </c>
      <c r="AX30" s="49">
        <f t="shared" si="3"/>
        <v>101600.48173828123</v>
      </c>
      <c r="AY30" s="49">
        <f t="shared" si="9"/>
        <v>238000.45488281248</v>
      </c>
      <c r="AZ30" s="49">
        <v>12</v>
      </c>
      <c r="BA30" s="49">
        <f t="shared" si="10"/>
        <v>2856005.4585937499</v>
      </c>
      <c r="BB30" s="40"/>
    </row>
    <row r="31" spans="1:54" s="38" customFormat="1" ht="48" x14ac:dyDescent="0.2">
      <c r="A31" s="32">
        <f t="shared" si="6"/>
        <v>14</v>
      </c>
      <c r="B31" s="32" t="str">
        <f>'в часах'!B48</f>
        <v>Абдрахманова Дана Каиргельдыевна</v>
      </c>
      <c r="C31" s="32" t="str">
        <f>'в часах'!C48</f>
        <v>английский язык</v>
      </c>
      <c r="D31" s="32" t="str">
        <f>'в часах'!D48</f>
        <v>высшее Кокшетауский унив. Им.Мырзахметова 2018</v>
      </c>
      <c r="E31" s="32" t="str">
        <f>'в часах'!E48</f>
        <v>05.02,18</v>
      </c>
      <c r="F31" s="32" t="str">
        <f>'в часах'!F48</f>
        <v>педагог-модератор №75 от 24.12.2020</v>
      </c>
      <c r="G31" s="32" t="str">
        <f>'в часах'!G48</f>
        <v>B23 - 05-07</v>
      </c>
      <c r="H31" s="32">
        <f>'в часах'!H48</f>
        <v>4.66</v>
      </c>
      <c r="I31" s="32">
        <f>'в часах'!I48</f>
        <v>1.75</v>
      </c>
      <c r="J31" s="45">
        <f>'в часах'!J48</f>
        <v>144319.035</v>
      </c>
      <c r="K31" s="44">
        <f>'в часах'!K48</f>
        <v>1.3125</v>
      </c>
      <c r="L31" s="35">
        <f>J31/24*'в часах'!L48</f>
        <v>0</v>
      </c>
      <c r="M31" s="35">
        <f>J31/16*'в часах'!M48</f>
        <v>54119.638124999998</v>
      </c>
      <c r="N31" s="35">
        <f>J31/16*'в часах'!N48</f>
        <v>135299.09531249999</v>
      </c>
      <c r="O31" s="35">
        <f>J31/16*'в часах'!O48</f>
        <v>0</v>
      </c>
      <c r="P31" s="35">
        <f t="shared" si="7"/>
        <v>189418.73343749999</v>
      </c>
      <c r="Q31" s="47">
        <f>P31*'в часах'!P48</f>
        <v>47354.683359374998</v>
      </c>
      <c r="R31" s="47">
        <f t="shared" si="8"/>
        <v>236773.41679687498</v>
      </c>
      <c r="S31" s="35">
        <f>P31*'в часах'!Q48</f>
        <v>18941.873343750001</v>
      </c>
      <c r="T31" s="35">
        <f t="shared" si="2"/>
        <v>71032.025039062486</v>
      </c>
      <c r="U31" s="35">
        <f>17697*40%/16*'в часах'!S48</f>
        <v>0</v>
      </c>
      <c r="V31" s="48">
        <f>17697*20%/16*'в часах'!T48</f>
        <v>884.85</v>
      </c>
      <c r="W31" s="48">
        <f>17697*40%/16*'в часах'!U48</f>
        <v>884.85</v>
      </c>
      <c r="X31" s="48">
        <f>17697*25%/16*'в часах'!V48</f>
        <v>0</v>
      </c>
      <c r="Y31" s="48">
        <f>17697*50%/16*'в часах'!W48</f>
        <v>0</v>
      </c>
      <c r="Z31" s="48">
        <f>17697*20%/16*'в часах'!X48</f>
        <v>663.63750000000005</v>
      </c>
      <c r="AA31" s="48">
        <f>17697*40%/16*'в часах'!Y48</f>
        <v>5309.1</v>
      </c>
      <c r="AB31" s="48">
        <f>17697*25%/16*'в часах'!Z48</f>
        <v>0</v>
      </c>
      <c r="AC31" s="48">
        <f>17697*50%/16*'в часах'!AA48</f>
        <v>0</v>
      </c>
      <c r="AD31" s="48">
        <f>17697*20%/16*'в часах'!AB48</f>
        <v>0</v>
      </c>
      <c r="AE31" s="48">
        <f>17697*40%/16*'в часах'!AC48</f>
        <v>0</v>
      </c>
      <c r="AF31" s="48">
        <f>17697*25%/16*'в часах'!AD48</f>
        <v>0</v>
      </c>
      <c r="AG31" s="48">
        <f>17697*50%/16*'в часах'!AE48</f>
        <v>0</v>
      </c>
      <c r="AH31" s="48">
        <f>17697*'в часах'!AF47</f>
        <v>0</v>
      </c>
      <c r="AI31" s="48">
        <f>17697*'в часах'!AG47</f>
        <v>0</v>
      </c>
      <c r="AJ31" s="48">
        <f>17697*'в часах'!AH47</f>
        <v>0</v>
      </c>
      <c r="AK31" s="48">
        <f>17697*'в часах'!AI47</f>
        <v>0</v>
      </c>
      <c r="AL31" s="48">
        <f>17697*'в часах'!AJ48</f>
        <v>0</v>
      </c>
      <c r="AM31" s="48">
        <f>17697*'в часах'!AK48</f>
        <v>0</v>
      </c>
      <c r="AN31" s="35"/>
      <c r="AO31" s="35">
        <f>R31*'в часах'!AM48</f>
        <v>0</v>
      </c>
      <c r="AP31" s="35">
        <f>R31*'в часах'!AN48</f>
        <v>0</v>
      </c>
      <c r="AQ31" s="35">
        <f>R31*'в часах'!AO48</f>
        <v>71032.025039062486</v>
      </c>
      <c r="AR31" s="35">
        <f>3063*'в часах'!AP48</f>
        <v>0</v>
      </c>
      <c r="AS31" s="35">
        <f>17697*'в часах'!AQ48</f>
        <v>0</v>
      </c>
      <c r="AT31" s="35">
        <f>17697*'в часах'!AR48</f>
        <v>0</v>
      </c>
      <c r="AU31" s="35">
        <f>17697*'в часах'!AS48</f>
        <v>0</v>
      </c>
      <c r="AV31" s="35">
        <f>17697*'в часах'!AT48</f>
        <v>0</v>
      </c>
      <c r="AW31" s="35">
        <f>17697*'в часах'!AU48</f>
        <v>0</v>
      </c>
      <c r="AX31" s="49">
        <f t="shared" si="3"/>
        <v>168748.36092187499</v>
      </c>
      <c r="AY31" s="49">
        <f t="shared" si="9"/>
        <v>405521.77771874995</v>
      </c>
      <c r="AZ31" s="49">
        <v>12</v>
      </c>
      <c r="BA31" s="49">
        <f t="shared" si="10"/>
        <v>4866261.3326249998</v>
      </c>
      <c r="BB31" s="40"/>
    </row>
    <row r="32" spans="1:54" s="38" customFormat="1" ht="60" x14ac:dyDescent="0.2">
      <c r="A32" s="32">
        <f t="shared" si="6"/>
        <v>15</v>
      </c>
      <c r="B32" s="32" t="str">
        <f>'в часах'!B49</f>
        <v>Стихиляс Татьяна Владимировна</v>
      </c>
      <c r="C32" s="32" t="str">
        <f>'в часах'!C49</f>
        <v>начальные классы</v>
      </c>
      <c r="D32" s="32" t="str">
        <f>'в часах'!D49</f>
        <v>высшее Кокшетауский унив. Им.Мырзахметова 2013</v>
      </c>
      <c r="E32" s="32" t="str">
        <f>'в часах'!E49</f>
        <v>14.09.19.</v>
      </c>
      <c r="F32" s="32" t="str">
        <f>'в часах'!F49</f>
        <v>педагог - исследователь № 170 от 31.12.2020</v>
      </c>
      <c r="G32" s="32" t="str">
        <f>'в часах'!G49</f>
        <v>B21 - 13-16</v>
      </c>
      <c r="H32" s="32">
        <f>'в часах'!H49</f>
        <v>5.16</v>
      </c>
      <c r="I32" s="32">
        <f>'в часах'!I49</f>
        <v>1.75</v>
      </c>
      <c r="J32" s="45">
        <f>'в часах'!J49</f>
        <v>159803.91</v>
      </c>
      <c r="K32" s="44">
        <f>'в часах'!K49</f>
        <v>1</v>
      </c>
      <c r="L32" s="35">
        <f>J32/24*'в часах'!L49</f>
        <v>0</v>
      </c>
      <c r="M32" s="35">
        <f>J32/16*'в часах'!M49</f>
        <v>159803.91</v>
      </c>
      <c r="N32" s="35">
        <f>J32/16*'в часах'!N49</f>
        <v>0</v>
      </c>
      <c r="O32" s="35">
        <f>J32/16*'в часах'!O49</f>
        <v>0</v>
      </c>
      <c r="P32" s="35">
        <f t="shared" si="7"/>
        <v>159803.91</v>
      </c>
      <c r="Q32" s="47">
        <f>P32*'в часах'!P49</f>
        <v>39950.977500000001</v>
      </c>
      <c r="R32" s="47">
        <f t="shared" si="8"/>
        <v>199754.88750000001</v>
      </c>
      <c r="S32" s="35">
        <f>P32*'в часах'!Q49</f>
        <v>15980.391000000001</v>
      </c>
      <c r="T32" s="35">
        <f t="shared" si="2"/>
        <v>59926.466249999998</v>
      </c>
      <c r="U32" s="35">
        <f>17697*40%/16*'в часах'!S49</f>
        <v>0</v>
      </c>
      <c r="V32" s="48">
        <f>17697*20%/16*'в часах'!T49</f>
        <v>0</v>
      </c>
      <c r="W32" s="48">
        <f>17697*40%/16*'в часах'!U49</f>
        <v>7078.8</v>
      </c>
      <c r="X32" s="48">
        <f>17697*25%/16*'в часах'!V49</f>
        <v>0</v>
      </c>
      <c r="Y32" s="48">
        <f>17697*50%/16*'в часах'!W49</f>
        <v>0</v>
      </c>
      <c r="Z32" s="48">
        <f>17697*20%/16*'в часах'!X49</f>
        <v>0</v>
      </c>
      <c r="AA32" s="48">
        <f>17697*40%/16*'в часах'!Y49</f>
        <v>0</v>
      </c>
      <c r="AB32" s="48">
        <f>17697*25%/16*'в часах'!Z49</f>
        <v>0</v>
      </c>
      <c r="AC32" s="48">
        <f>17697*50%/16*'в часах'!AA49</f>
        <v>0</v>
      </c>
      <c r="AD32" s="48">
        <f>17697*20%/16*'в часах'!AB49</f>
        <v>0</v>
      </c>
      <c r="AE32" s="48">
        <f>17697*40%/16*'в часах'!AC49</f>
        <v>0</v>
      </c>
      <c r="AF32" s="48">
        <f>17697*25%/16*'в часах'!AD49</f>
        <v>0</v>
      </c>
      <c r="AG32" s="48">
        <f>17697*50%/16*'в часах'!AE49</f>
        <v>0</v>
      </c>
      <c r="AH32" s="48">
        <f>17697*'в часах'!AF48</f>
        <v>0</v>
      </c>
      <c r="AI32" s="48">
        <f>17697*'в часах'!AG48</f>
        <v>0</v>
      </c>
      <c r="AJ32" s="48">
        <f>17697*'в часах'!AH48</f>
        <v>0</v>
      </c>
      <c r="AK32" s="48">
        <f>17697*'в часах'!AI48</f>
        <v>10618.199999999999</v>
      </c>
      <c r="AL32" s="48">
        <f>17697*'в часах'!AJ49</f>
        <v>0</v>
      </c>
      <c r="AM32" s="48">
        <f>17697*'в часах'!AK49</f>
        <v>0</v>
      </c>
      <c r="AN32" s="35"/>
      <c r="AO32" s="35">
        <f>R32*'в часах'!AM49</f>
        <v>79901.955000000016</v>
      </c>
      <c r="AP32" s="35">
        <f>R32*'в часах'!AN49</f>
        <v>0</v>
      </c>
      <c r="AQ32" s="35">
        <f>R32*'в часах'!AO49</f>
        <v>0</v>
      </c>
      <c r="AR32" s="35">
        <f>3063*'в часах'!AP49</f>
        <v>0</v>
      </c>
      <c r="AS32" s="35">
        <f>17697*'в часах'!AQ49</f>
        <v>0</v>
      </c>
      <c r="AT32" s="35">
        <f>17697*'в часах'!AR49</f>
        <v>0</v>
      </c>
      <c r="AU32" s="35">
        <f>17697*'в часах'!AS49</f>
        <v>0</v>
      </c>
      <c r="AV32" s="35">
        <f>17697*'в часах'!AT49</f>
        <v>3539.4</v>
      </c>
      <c r="AW32" s="35">
        <f>17697*'в часах'!AU49</f>
        <v>0</v>
      </c>
      <c r="AX32" s="49">
        <f t="shared" si="3"/>
        <v>177045.21225000001</v>
      </c>
      <c r="AY32" s="49">
        <f t="shared" si="9"/>
        <v>376800.09975000005</v>
      </c>
      <c r="AZ32" s="49">
        <v>12</v>
      </c>
      <c r="BA32" s="49">
        <f t="shared" si="10"/>
        <v>4521601.1970000006</v>
      </c>
      <c r="BB32" s="40"/>
    </row>
    <row r="33" spans="1:54" s="38" customFormat="1" ht="48" x14ac:dyDescent="0.2">
      <c r="A33" s="32">
        <f t="shared" si="6"/>
        <v>16</v>
      </c>
      <c r="B33" s="32" t="str">
        <f>'в часах'!B50</f>
        <v>Гептин Наталья Александровна</v>
      </c>
      <c r="C33" s="32" t="str">
        <f>'в часах'!C50</f>
        <v>русский язык и литература</v>
      </c>
      <c r="D33" s="32" t="str">
        <f>'в часах'!D50</f>
        <v xml:space="preserve">высшее Омская гуманитарная академия 2017 </v>
      </c>
      <c r="E33" s="32" t="str">
        <f>'в часах'!E50</f>
        <v>09.10.18.</v>
      </c>
      <c r="F33" s="32" t="str">
        <f>'в часах'!F50</f>
        <v>педагог-модератор № 118 от 31.07.2020</v>
      </c>
      <c r="G33" s="32" t="str">
        <f>'в часах'!G50</f>
        <v>B23- 07-10</v>
      </c>
      <c r="H33" s="32">
        <f>'в часах'!H50</f>
        <v>4.74</v>
      </c>
      <c r="I33" s="32">
        <f>'в часах'!I50</f>
        <v>1.75</v>
      </c>
      <c r="J33" s="45">
        <f>'в часах'!J50</f>
        <v>146796.61500000002</v>
      </c>
      <c r="K33" s="44">
        <f>'в часах'!K50</f>
        <v>1.125</v>
      </c>
      <c r="L33" s="35">
        <f>J33/24*'в часах'!L50</f>
        <v>0</v>
      </c>
      <c r="M33" s="35">
        <f>J33/16*'в часах'!M50</f>
        <v>0</v>
      </c>
      <c r="N33" s="35">
        <f>J33/16*'в часах'!N50</f>
        <v>137621.82656250001</v>
      </c>
      <c r="O33" s="35">
        <f>J33/16*'в часах'!O50</f>
        <v>27524.365312500006</v>
      </c>
      <c r="P33" s="35">
        <f t="shared" si="7"/>
        <v>165146.19187500002</v>
      </c>
      <c r="Q33" s="47">
        <f>P33*'в часах'!P50</f>
        <v>41286.547968750005</v>
      </c>
      <c r="R33" s="47">
        <f t="shared" si="8"/>
        <v>206432.73984375002</v>
      </c>
      <c r="S33" s="35">
        <f>P33*'в часах'!Q50</f>
        <v>16514.619187500004</v>
      </c>
      <c r="T33" s="35">
        <f t="shared" si="2"/>
        <v>61929.821953125007</v>
      </c>
      <c r="U33" s="35">
        <f>17697*40%/16*'в часах'!S50</f>
        <v>0</v>
      </c>
      <c r="V33" s="48">
        <f>17697*20%/16*'в часах'!T50</f>
        <v>0</v>
      </c>
      <c r="W33" s="48">
        <f>17697*40%/16*'в часах'!U50</f>
        <v>0</v>
      </c>
      <c r="X33" s="48">
        <f>17697*25%/16*'в часах'!V50</f>
        <v>0</v>
      </c>
      <c r="Y33" s="48">
        <f>17697*50%/16*'в часах'!W50</f>
        <v>0</v>
      </c>
      <c r="Z33" s="48">
        <f>17697*20%/16*'в часах'!X50</f>
        <v>0</v>
      </c>
      <c r="AA33" s="48">
        <f>17697*40%/16*'в часах'!Y50</f>
        <v>0</v>
      </c>
      <c r="AB33" s="48">
        <f>17697*25%/16*'в часах'!Z50</f>
        <v>0</v>
      </c>
      <c r="AC33" s="48">
        <f>17697*50%/16*'в часах'!AA50</f>
        <v>8295.46875</v>
      </c>
      <c r="AD33" s="48">
        <f>17697*20%/16*'в часах'!AB50</f>
        <v>0</v>
      </c>
      <c r="AE33" s="48">
        <f>17697*40%/16*'в часах'!AC50</f>
        <v>0</v>
      </c>
      <c r="AF33" s="48">
        <f>17697*25%/16*'в часах'!AD50</f>
        <v>829.546875</v>
      </c>
      <c r="AG33" s="48">
        <f>17697*50%/16*'в часах'!AE50</f>
        <v>0</v>
      </c>
      <c r="AH33" s="48">
        <f>17697*'в часах'!AF49</f>
        <v>0</v>
      </c>
      <c r="AI33" s="48">
        <f>17697*'в часах'!AG49</f>
        <v>8848.5</v>
      </c>
      <c r="AJ33" s="48">
        <f>17697*'в часах'!AH49</f>
        <v>0</v>
      </c>
      <c r="AK33" s="48">
        <f>17697*'в часах'!AI49</f>
        <v>0</v>
      </c>
      <c r="AL33" s="48">
        <f>17697*'в часах'!AJ50</f>
        <v>0</v>
      </c>
      <c r="AM33" s="48">
        <f>17697*'в часах'!AK50</f>
        <v>0</v>
      </c>
      <c r="AN33" s="35"/>
      <c r="AO33" s="35">
        <f>R33*'в часах'!AM50</f>
        <v>0</v>
      </c>
      <c r="AP33" s="35">
        <f>R33*'в часах'!AN50</f>
        <v>0</v>
      </c>
      <c r="AQ33" s="35">
        <f>R33*'в часах'!AO50</f>
        <v>61929.821953125007</v>
      </c>
      <c r="AR33" s="35">
        <f>3063*'в часах'!AP50</f>
        <v>0</v>
      </c>
      <c r="AS33" s="35">
        <f>17697*'в часах'!AQ50</f>
        <v>0</v>
      </c>
      <c r="AT33" s="35">
        <f>17697*'в часах'!AR50</f>
        <v>0</v>
      </c>
      <c r="AU33" s="35">
        <f>17697*'в часах'!AS50</f>
        <v>0</v>
      </c>
      <c r="AV33" s="35">
        <f>17697*'в часах'!AT50</f>
        <v>0</v>
      </c>
      <c r="AW33" s="35">
        <f>17697*'в часах'!AU50</f>
        <v>0</v>
      </c>
      <c r="AX33" s="49">
        <f t="shared" si="3"/>
        <v>158347.77871875002</v>
      </c>
      <c r="AY33" s="49">
        <f t="shared" si="9"/>
        <v>364780.51856250002</v>
      </c>
      <c r="AZ33" s="49">
        <v>12</v>
      </c>
      <c r="BA33" s="49">
        <f t="shared" si="10"/>
        <v>4377366.2227500007</v>
      </c>
      <c r="BB33" s="40"/>
    </row>
    <row r="34" spans="1:54" s="38" customFormat="1" ht="48" x14ac:dyDescent="0.2">
      <c r="A34" s="32">
        <f t="shared" si="6"/>
        <v>17</v>
      </c>
      <c r="B34" s="32" t="str">
        <f>'в часах'!B51</f>
        <v>вакансия/русский язык</v>
      </c>
      <c r="C34" s="32" t="str">
        <f>'в часах'!C51</f>
        <v>русский язык и литература \ надомное обучение</v>
      </c>
      <c r="D34" s="32" t="str">
        <f>'в часах'!D51</f>
        <v>высшее Омская гуманитарная академия 2018</v>
      </c>
      <c r="E34" s="32" t="str">
        <f>'в часах'!E51</f>
        <v>09.10.18.</v>
      </c>
      <c r="F34" s="32" t="str">
        <f>'в часах'!F51</f>
        <v>педагог-модератор № 118 от 31.07.2020</v>
      </c>
      <c r="G34" s="32" t="str">
        <f>'в часах'!G51</f>
        <v>B23- 07-10</v>
      </c>
      <c r="H34" s="32">
        <f>'в часах'!H51</f>
        <v>4.74</v>
      </c>
      <c r="I34" s="32">
        <f>'в часах'!I51</f>
        <v>1.75</v>
      </c>
      <c r="J34" s="45">
        <f>'в часах'!J51</f>
        <v>146796.61500000002</v>
      </c>
      <c r="K34" s="44">
        <f>'в часах'!K51</f>
        <v>0</v>
      </c>
      <c r="L34" s="35">
        <f>J34/24*'в часах'!L51</f>
        <v>0</v>
      </c>
      <c r="M34" s="35">
        <f>J34/16*'в часах'!M51</f>
        <v>0</v>
      </c>
      <c r="N34" s="35">
        <f>J34/16*'в часах'!N51</f>
        <v>0</v>
      </c>
      <c r="O34" s="35">
        <f>J34/16*'в часах'!O51</f>
        <v>0</v>
      </c>
      <c r="P34" s="35">
        <f t="shared" si="7"/>
        <v>0</v>
      </c>
      <c r="Q34" s="47">
        <f>P34*'в часах'!P51</f>
        <v>0</v>
      </c>
      <c r="R34" s="47">
        <f t="shared" si="8"/>
        <v>0</v>
      </c>
      <c r="S34" s="35">
        <f>P34*'в часах'!Q51</f>
        <v>0</v>
      </c>
      <c r="T34" s="35">
        <f t="shared" si="2"/>
        <v>0</v>
      </c>
      <c r="U34" s="35">
        <f>17697*40%/16*'в часах'!S51</f>
        <v>1327.2750000000001</v>
      </c>
      <c r="V34" s="48">
        <f>17697*20%/16*'в часах'!T51</f>
        <v>0</v>
      </c>
      <c r="W34" s="48">
        <f>17697*40%/16*'в часах'!U51</f>
        <v>0</v>
      </c>
      <c r="X34" s="48">
        <f>17697*25%/16*'в часах'!V51</f>
        <v>0</v>
      </c>
      <c r="Y34" s="48">
        <f>17697*50%/16*'в часах'!W51</f>
        <v>0</v>
      </c>
      <c r="Z34" s="48">
        <f>17697*20%/16*'в часах'!X51</f>
        <v>0</v>
      </c>
      <c r="AA34" s="48">
        <f>17697*40%/16*'в часах'!Y51</f>
        <v>0</v>
      </c>
      <c r="AB34" s="48">
        <f>17697*25%/16*'в часах'!Z51</f>
        <v>829.546875</v>
      </c>
      <c r="AC34" s="48">
        <f>17697*50%/16*'в часах'!AA51</f>
        <v>0</v>
      </c>
      <c r="AD34" s="48">
        <f>17697*20%/16*'в часах'!AB51</f>
        <v>0</v>
      </c>
      <c r="AE34" s="48">
        <f>17697*40%/16*'в часах'!AC51</f>
        <v>0</v>
      </c>
      <c r="AF34" s="48">
        <f>17697*25%/16*'в часах'!AD51</f>
        <v>0</v>
      </c>
      <c r="AG34" s="48">
        <f>17697*50%/16*'в часах'!AE51</f>
        <v>0</v>
      </c>
      <c r="AH34" s="48">
        <f>17697*'в часах'!AF50</f>
        <v>0</v>
      </c>
      <c r="AI34" s="48">
        <f>17697*'в часах'!AG50</f>
        <v>0</v>
      </c>
      <c r="AJ34" s="48">
        <f>17697*'в часах'!AH50</f>
        <v>0</v>
      </c>
      <c r="AK34" s="48" t="e">
        <f>17697*'в часах'!#REF!</f>
        <v>#REF!</v>
      </c>
      <c r="AL34" s="48">
        <f>17697*'в часах'!AJ51</f>
        <v>0</v>
      </c>
      <c r="AM34" s="48">
        <f>17697*'в часах'!AK51</f>
        <v>0</v>
      </c>
      <c r="AN34" s="35"/>
      <c r="AO34" s="35">
        <f>R34*'в часах'!AM51</f>
        <v>0</v>
      </c>
      <c r="AP34" s="35">
        <f>R34*'в часах'!AN51</f>
        <v>0</v>
      </c>
      <c r="AQ34" s="35">
        <f>R34*'в часах'!AO51</f>
        <v>0</v>
      </c>
      <c r="AR34" s="35">
        <f>3063*'в часах'!AP51</f>
        <v>0</v>
      </c>
      <c r="AS34" s="35">
        <f>17697*'в часах'!AQ51</f>
        <v>0</v>
      </c>
      <c r="AT34" s="35">
        <f>17697*'в часах'!AR51</f>
        <v>0</v>
      </c>
      <c r="AU34" s="35">
        <f>17697*'в часах'!AS51</f>
        <v>0</v>
      </c>
      <c r="AV34" s="35">
        <f>17697*'в часах'!AT51</f>
        <v>0</v>
      </c>
      <c r="AW34" s="35">
        <f>17697*'в часах'!AU51</f>
        <v>0</v>
      </c>
      <c r="AX34" s="49" t="e">
        <f t="shared" si="3"/>
        <v>#REF!</v>
      </c>
      <c r="AY34" s="49" t="e">
        <f t="shared" si="9"/>
        <v>#REF!</v>
      </c>
      <c r="AZ34" s="49">
        <v>12</v>
      </c>
      <c r="BA34" s="49" t="e">
        <f t="shared" si="10"/>
        <v>#REF!</v>
      </c>
      <c r="BB34" s="40"/>
    </row>
    <row r="35" spans="1:54" s="38" customFormat="1" ht="48" x14ac:dyDescent="0.2">
      <c r="A35" s="32">
        <f t="shared" si="6"/>
        <v>18</v>
      </c>
      <c r="B35" s="32" t="str">
        <f>'в часах'!B52</f>
        <v>Черная Галина Григорьевна</v>
      </c>
      <c r="C35" s="32" t="str">
        <f>'в часах'!C52</f>
        <v>химия</v>
      </c>
      <c r="D35" s="32" t="str">
        <f>'в часах'!D52</f>
        <v>высшее  Кокшеиауский университет им. Ш.Уалиханова</v>
      </c>
      <c r="E35" s="32" t="str">
        <f>'в часах'!E52</f>
        <v>32.00.13.</v>
      </c>
      <c r="F35" s="32" t="str">
        <f>'в часах'!F52</f>
        <v>педагог-эксперт  № 264 от 14.07.2021</v>
      </c>
      <c r="G35" s="32" t="str">
        <f>'в часах'!G52</f>
        <v>B22 - 2500</v>
      </c>
      <c r="H35" s="32">
        <f>'в часах'!H52</f>
        <v>5.2</v>
      </c>
      <c r="I35" s="32">
        <f>'в часах'!I52</f>
        <v>1.75</v>
      </c>
      <c r="J35" s="45">
        <f>'в часах'!J52</f>
        <v>161042.70000000001</v>
      </c>
      <c r="K35" s="44">
        <f>'в часах'!K52</f>
        <v>0.4375</v>
      </c>
      <c r="L35" s="35">
        <f>J35/24*'в часах'!L52</f>
        <v>0</v>
      </c>
      <c r="M35" s="35">
        <f>J35/16*'в часах'!M52</f>
        <v>0</v>
      </c>
      <c r="N35" s="35">
        <f>J35/16*'в часах'!N52</f>
        <v>50325.84375</v>
      </c>
      <c r="O35" s="35">
        <f>J35/16*'в часах'!O52</f>
        <v>20130.337500000001</v>
      </c>
      <c r="P35" s="35">
        <f t="shared" si="7"/>
        <v>70456.181249999994</v>
      </c>
      <c r="Q35" s="47">
        <f>P35*'в часах'!P52</f>
        <v>17614.045312499999</v>
      </c>
      <c r="R35" s="47">
        <f t="shared" si="8"/>
        <v>88070.2265625</v>
      </c>
      <c r="S35" s="35">
        <f>P35*'в часах'!Q52</f>
        <v>7045.618125</v>
      </c>
      <c r="T35" s="35">
        <f t="shared" si="2"/>
        <v>26421.067968749998</v>
      </c>
      <c r="U35" s="35">
        <f>17697*40%/16*'в часах'!S52</f>
        <v>0</v>
      </c>
      <c r="V35" s="48">
        <f>17697*20%/16*'в часах'!T52</f>
        <v>0</v>
      </c>
      <c r="W35" s="48">
        <f>17697*40%/16*'в часах'!U52</f>
        <v>0</v>
      </c>
      <c r="X35" s="48">
        <f>17697*25%/16*'в часах'!V52</f>
        <v>0</v>
      </c>
      <c r="Y35" s="48">
        <f>17697*50%/16*'в часах'!W52</f>
        <v>0</v>
      </c>
      <c r="Z35" s="48">
        <f>17697*20%/16*'в часах'!X52</f>
        <v>442.42500000000001</v>
      </c>
      <c r="AA35" s="48">
        <f>17697*40%/16*'в часах'!Y52</f>
        <v>1327.2750000000001</v>
      </c>
      <c r="AB35" s="48">
        <f>17697*25%/16*'в часах'!Z52</f>
        <v>0</v>
      </c>
      <c r="AC35" s="48">
        <f>17697*50%/16*'в часах'!AA52</f>
        <v>0</v>
      </c>
      <c r="AD35" s="48">
        <f>17697*20%/16*'в часах'!AB52</f>
        <v>0</v>
      </c>
      <c r="AE35" s="48">
        <f>17697*40%/16*'в часах'!AC52</f>
        <v>0</v>
      </c>
      <c r="AF35" s="48">
        <f>17697*25%/16*'в часах'!AD52</f>
        <v>0</v>
      </c>
      <c r="AG35" s="48">
        <f>17697*50%/16*'в часах'!AE52</f>
        <v>0</v>
      </c>
      <c r="AH35" s="48">
        <f>17697*'в часах'!AF51</f>
        <v>0</v>
      </c>
      <c r="AI35" s="48">
        <f>17697*'в часах'!AG51</f>
        <v>0</v>
      </c>
      <c r="AJ35" s="48">
        <f>17697*'в часах'!AH51</f>
        <v>0</v>
      </c>
      <c r="AK35" s="48">
        <f>17697*'в часах'!AI51</f>
        <v>0</v>
      </c>
      <c r="AL35" s="48">
        <f>17697*'в часах'!AJ52</f>
        <v>0</v>
      </c>
      <c r="AM35" s="48">
        <f>17697*'в часах'!AK52</f>
        <v>5309.0999999999995</v>
      </c>
      <c r="AN35" s="35"/>
      <c r="AO35" s="35">
        <f>R35*'в часах'!AM52</f>
        <v>0</v>
      </c>
      <c r="AP35" s="35">
        <f>R35*'в часах'!AN52</f>
        <v>30824.579296874999</v>
      </c>
      <c r="AQ35" s="35">
        <f>R35*'в часах'!AO52</f>
        <v>0</v>
      </c>
      <c r="AR35" s="35">
        <f>3063*'в часах'!AP52</f>
        <v>0</v>
      </c>
      <c r="AS35" s="35">
        <f>17697*'в часах'!AQ52</f>
        <v>0</v>
      </c>
      <c r="AT35" s="35">
        <f>17697*'в часах'!AR52</f>
        <v>0</v>
      </c>
      <c r="AU35" s="35">
        <f>17697*'в часах'!AS52</f>
        <v>17697</v>
      </c>
      <c r="AV35" s="35">
        <f>17697*'в часах'!AT52</f>
        <v>3539.4</v>
      </c>
      <c r="AW35" s="35">
        <f>17697*'в часах'!AU52</f>
        <v>0</v>
      </c>
      <c r="AX35" s="49">
        <f t="shared" si="3"/>
        <v>92606.465390624988</v>
      </c>
      <c r="AY35" s="49">
        <f t="shared" si="9"/>
        <v>180676.691953125</v>
      </c>
      <c r="AZ35" s="49">
        <v>12</v>
      </c>
      <c r="BA35" s="49">
        <f t="shared" si="10"/>
        <v>2168120.3034375003</v>
      </c>
      <c r="BB35" s="40"/>
    </row>
    <row r="36" spans="1:54" s="38" customFormat="1" ht="48" x14ac:dyDescent="0.2">
      <c r="A36" s="32">
        <f t="shared" si="6"/>
        <v>19</v>
      </c>
      <c r="B36" s="32" t="str">
        <f>'в часах'!B53</f>
        <v>Черная Галина Григорьевна</v>
      </c>
      <c r="C36" s="32" t="str">
        <f>'в часах'!C53</f>
        <v>биология</v>
      </c>
      <c r="D36" s="32" t="str">
        <f>'в часах'!D53</f>
        <v>высшее  Кокшеиауский университет им. Ш.Уалиханова</v>
      </c>
      <c r="E36" s="32" t="str">
        <f>'в часах'!E53</f>
        <v>32.00.13.</v>
      </c>
      <c r="F36" s="32" t="str">
        <f>'в часах'!F53</f>
        <v>педагог-эксперт  № 264 от 14.07.2022</v>
      </c>
      <c r="G36" s="32" t="str">
        <f>'в часах'!G53</f>
        <v>B22 - 2500</v>
      </c>
      <c r="H36" s="32">
        <f>'в часах'!H53</f>
        <v>5.2</v>
      </c>
      <c r="I36" s="32">
        <f>'в часах'!I53</f>
        <v>1.75</v>
      </c>
      <c r="J36" s="45">
        <f>'в часах'!J53</f>
        <v>161042.70000000001</v>
      </c>
      <c r="K36" s="44">
        <f>'в часах'!K53</f>
        <v>1</v>
      </c>
      <c r="L36" s="35">
        <f>J36/24*'в часах'!L53</f>
        <v>0</v>
      </c>
      <c r="M36" s="35">
        <f>J36/16*'в часах'!M53</f>
        <v>0</v>
      </c>
      <c r="N36" s="35">
        <f>J36/16*'в часах'!N53</f>
        <v>100651.6875</v>
      </c>
      <c r="O36" s="35">
        <f>J36/16*'в часах'!O53</f>
        <v>60391.012500000004</v>
      </c>
      <c r="P36" s="35">
        <f t="shared" si="7"/>
        <v>161042.70000000001</v>
      </c>
      <c r="Q36" s="47">
        <f>P36*'в часах'!P53</f>
        <v>40260.675000000003</v>
      </c>
      <c r="R36" s="47">
        <f t="shared" si="8"/>
        <v>201303.375</v>
      </c>
      <c r="S36" s="35">
        <f>P36*'в часах'!Q53</f>
        <v>16104.270000000002</v>
      </c>
      <c r="T36" s="35">
        <f t="shared" si="2"/>
        <v>60391.012499999997</v>
      </c>
      <c r="U36" s="35">
        <f>17697*40%/16*'в часах'!S53</f>
        <v>0</v>
      </c>
      <c r="V36" s="48">
        <f>17697*20%/16*'в часах'!T53</f>
        <v>0</v>
      </c>
      <c r="W36" s="48">
        <f>17697*40%/16*'в часах'!U53</f>
        <v>0</v>
      </c>
      <c r="X36" s="48">
        <f>17697*25%/16*'в часах'!V53</f>
        <v>0</v>
      </c>
      <c r="Y36" s="48">
        <f>17697*50%/16*'в часах'!W53</f>
        <v>0</v>
      </c>
      <c r="Z36" s="48">
        <f>17697*20%/16*'в часах'!X53</f>
        <v>442.42500000000001</v>
      </c>
      <c r="AA36" s="48">
        <f>17697*40%/16*'в часах'!Y53</f>
        <v>3539.4</v>
      </c>
      <c r="AB36" s="48">
        <f>17697*25%/16*'в часах'!Z53</f>
        <v>0</v>
      </c>
      <c r="AC36" s="48">
        <f>17697*50%/16*'в часах'!AA53</f>
        <v>0</v>
      </c>
      <c r="AD36" s="48">
        <f>17697*20%/16*'в часах'!AB53</f>
        <v>1327.2750000000001</v>
      </c>
      <c r="AE36" s="48">
        <f>17697*40%/16*'в часах'!AC53</f>
        <v>0</v>
      </c>
      <c r="AF36" s="48">
        <f>17697*25%/16*'в часах'!AD53</f>
        <v>0</v>
      </c>
      <c r="AG36" s="48">
        <f>17697*50%/16*'в часах'!AE53</f>
        <v>0</v>
      </c>
      <c r="AH36" s="48">
        <f>17697*'в часах'!AF51</f>
        <v>0</v>
      </c>
      <c r="AI36" s="48">
        <f>17697*'в часах'!AG52</f>
        <v>0</v>
      </c>
      <c r="AJ36" s="48">
        <f>17697*'в часах'!AH52</f>
        <v>0</v>
      </c>
      <c r="AK36" s="48">
        <f>17697*'в часах'!AI52</f>
        <v>0</v>
      </c>
      <c r="AL36" s="48">
        <f>17697*'в часах'!AJ53</f>
        <v>0</v>
      </c>
      <c r="AM36" s="48">
        <f>17697*'в часах'!AK53</f>
        <v>0</v>
      </c>
      <c r="AN36" s="35"/>
      <c r="AO36" s="35">
        <f>R36*'в часах'!AM53</f>
        <v>0</v>
      </c>
      <c r="AP36" s="35">
        <f>R36*'в часах'!AN53</f>
        <v>70456.181249999994</v>
      </c>
      <c r="AQ36" s="35">
        <f>R36*'в часах'!AO53</f>
        <v>0</v>
      </c>
      <c r="AR36" s="35">
        <f>3063*'в часах'!AP53</f>
        <v>0</v>
      </c>
      <c r="AS36" s="35">
        <f>17697*'в часах'!AQ53</f>
        <v>0</v>
      </c>
      <c r="AT36" s="35">
        <f>17697*'в часах'!AR53</f>
        <v>0</v>
      </c>
      <c r="AU36" s="35">
        <f>17697*'в часах'!AS53</f>
        <v>0</v>
      </c>
      <c r="AV36" s="35">
        <f>17697*'в часах'!AT53</f>
        <v>0</v>
      </c>
      <c r="AW36" s="35">
        <f>17697*'в часах'!AU53</f>
        <v>0</v>
      </c>
      <c r="AX36" s="49">
        <f t="shared" si="3"/>
        <v>152260.56374999997</v>
      </c>
      <c r="AY36" s="49">
        <f t="shared" si="9"/>
        <v>353563.93874999997</v>
      </c>
      <c r="AZ36" s="49">
        <v>12</v>
      </c>
      <c r="BA36" s="49">
        <f t="shared" si="10"/>
        <v>4242767.2649999997</v>
      </c>
      <c r="BB36" s="40"/>
    </row>
    <row r="37" spans="1:54" s="38" customFormat="1" ht="48" x14ac:dyDescent="0.2">
      <c r="A37" s="32">
        <f t="shared" si="6"/>
        <v>20</v>
      </c>
      <c r="B37" s="32" t="str">
        <f>'в часах'!B54</f>
        <v>Черная Галина Григорьевна</v>
      </c>
      <c r="C37" s="32" t="str">
        <f>'в часах'!C54</f>
        <v>мир вокруг</v>
      </c>
      <c r="D37" s="32" t="str">
        <f>'в часах'!D54</f>
        <v>высшее  Кокшеиауский университет им. Ш.Уалиханова</v>
      </c>
      <c r="E37" s="32" t="str">
        <f>'в часах'!E54</f>
        <v>32.00.13.</v>
      </c>
      <c r="F37" s="32" t="str">
        <f>'в часах'!F54</f>
        <v>педагог-эксперт  № 264 от 14.07.2023</v>
      </c>
      <c r="G37" s="32" t="str">
        <f>'в часах'!G54</f>
        <v>B22 - 2500</v>
      </c>
      <c r="H37" s="32">
        <f>'в часах'!H54</f>
        <v>5.2</v>
      </c>
      <c r="I37" s="32">
        <f>'в часах'!I54</f>
        <v>1.75</v>
      </c>
      <c r="J37" s="45">
        <f>'в часах'!J54</f>
        <v>161042.70000000001</v>
      </c>
      <c r="K37" s="44">
        <f>'в часах'!K54</f>
        <v>0</v>
      </c>
      <c r="L37" s="35">
        <f>J37/24*'в часах'!L54</f>
        <v>0</v>
      </c>
      <c r="M37" s="35">
        <f>J37/16*'в часах'!M54</f>
        <v>0</v>
      </c>
      <c r="N37" s="35">
        <f>J37/16*'в часах'!N54</f>
        <v>0</v>
      </c>
      <c r="O37" s="35">
        <f>J37/16*'в часах'!O54</f>
        <v>0</v>
      </c>
      <c r="P37" s="35">
        <f t="shared" si="7"/>
        <v>0</v>
      </c>
      <c r="Q37" s="47">
        <f>P37*'в часах'!P54</f>
        <v>0</v>
      </c>
      <c r="R37" s="47">
        <f t="shared" si="8"/>
        <v>0</v>
      </c>
      <c r="S37" s="35">
        <f>P37*'в часах'!Q54</f>
        <v>0</v>
      </c>
      <c r="T37" s="35">
        <f t="shared" si="2"/>
        <v>0</v>
      </c>
      <c r="U37" s="35">
        <f>17697*40%/16*'в часах'!S54</f>
        <v>442.42500000000001</v>
      </c>
      <c r="V37" s="48">
        <f>17697*20%/16*'в часах'!T54</f>
        <v>0</v>
      </c>
      <c r="W37" s="48">
        <f>17697*40%/16*'в часах'!U54</f>
        <v>0</v>
      </c>
      <c r="X37" s="48">
        <f>17697*25%/16*'в часах'!V54</f>
        <v>0</v>
      </c>
      <c r="Y37" s="48">
        <f>17697*50%/16*'в часах'!W54</f>
        <v>0</v>
      </c>
      <c r="Z37" s="48">
        <f>17697*20%/16*'в часах'!X54</f>
        <v>221.21250000000001</v>
      </c>
      <c r="AA37" s="48">
        <f>17697*40%/16*'в часах'!Y54</f>
        <v>0</v>
      </c>
      <c r="AB37" s="48">
        <f>17697*25%/16*'в часах'!Z54</f>
        <v>0</v>
      </c>
      <c r="AC37" s="48">
        <f>17697*50%/16*'в часах'!AA54</f>
        <v>0</v>
      </c>
      <c r="AD37" s="48">
        <f>17697*20%/16*'в часах'!AB54</f>
        <v>0</v>
      </c>
      <c r="AE37" s="48">
        <f>17697*40%/16*'в часах'!AC54</f>
        <v>0</v>
      </c>
      <c r="AF37" s="48">
        <f>17697*25%/16*'в часах'!AD54</f>
        <v>0</v>
      </c>
      <c r="AG37" s="48">
        <f>17697*50%/16*'в часах'!AE54</f>
        <v>0</v>
      </c>
      <c r="AH37" s="48">
        <f>17697*'в часах'!AF52</f>
        <v>0</v>
      </c>
      <c r="AI37" s="48">
        <f>17697*'в часах'!AG53</f>
        <v>0</v>
      </c>
      <c r="AJ37" s="48">
        <f>17697*'в часах'!AH53</f>
        <v>0</v>
      </c>
      <c r="AK37" s="48">
        <f>17697*'в часах'!AI53</f>
        <v>0</v>
      </c>
      <c r="AL37" s="48">
        <f>17697*'в часах'!AJ54</f>
        <v>0</v>
      </c>
      <c r="AM37" s="48">
        <f>17697*'в часах'!AK54</f>
        <v>0</v>
      </c>
      <c r="AN37" s="35"/>
      <c r="AO37" s="35">
        <f>R37*'в часах'!AM54</f>
        <v>0</v>
      </c>
      <c r="AP37" s="35">
        <f>R37*'в часах'!AN54</f>
        <v>0</v>
      </c>
      <c r="AQ37" s="35">
        <f>R37*'в часах'!AO54</f>
        <v>0</v>
      </c>
      <c r="AR37" s="35">
        <f>3063*'в часах'!AP54</f>
        <v>0</v>
      </c>
      <c r="AS37" s="35">
        <f>17697*'в часах'!AQ54</f>
        <v>0</v>
      </c>
      <c r="AT37" s="35">
        <f>17697*'в часах'!AR54</f>
        <v>0</v>
      </c>
      <c r="AU37" s="35">
        <f>17697*'в часах'!AS54</f>
        <v>0</v>
      </c>
      <c r="AV37" s="35">
        <f>17697*'в часах'!AT54</f>
        <v>0</v>
      </c>
      <c r="AW37" s="35">
        <f>17697*'в часах'!AU54</f>
        <v>0</v>
      </c>
      <c r="AX37" s="49">
        <f t="shared" si="3"/>
        <v>663.63750000000005</v>
      </c>
      <c r="AY37" s="49">
        <f t="shared" si="9"/>
        <v>663.63750000000005</v>
      </c>
      <c r="AZ37" s="49">
        <v>12</v>
      </c>
      <c r="BA37" s="49">
        <f t="shared" si="10"/>
        <v>7963.6500000000005</v>
      </c>
      <c r="BB37" s="40"/>
    </row>
    <row r="38" spans="1:54" s="38" customFormat="1" ht="48" x14ac:dyDescent="0.2">
      <c r="A38" s="32">
        <f t="shared" si="6"/>
        <v>21</v>
      </c>
      <c r="B38" s="32" t="str">
        <f>'в часах'!B55</f>
        <v>Ермаганбетова Гульзаш Салыкжановна</v>
      </c>
      <c r="C38" s="32" t="str">
        <f>'в часах'!C55</f>
        <v>казахский язык и литература</v>
      </c>
      <c r="D38" s="32" t="str">
        <f>'в часах'!D55</f>
        <v>высшее.Аркалыкский пед.</v>
      </c>
      <c r="E38" s="32" t="str">
        <f>'в часах'!E55</f>
        <v>25.08.25.</v>
      </c>
      <c r="F38" s="32" t="str">
        <f>'в часах'!F55</f>
        <v>педагог-эксперт № 197/а от 27.07.2020</v>
      </c>
      <c r="G38" s="32" t="str">
        <f>'в часах'!G55</f>
        <v>B22 - 25-30</v>
      </c>
      <c r="H38" s="32">
        <f>'в часах'!H55</f>
        <v>5.2</v>
      </c>
      <c r="I38" s="32">
        <f>'в часах'!I55</f>
        <v>1.75</v>
      </c>
      <c r="J38" s="45">
        <f>'в часах'!J55</f>
        <v>161042.70000000001</v>
      </c>
      <c r="K38" s="44">
        <f>'в часах'!K55</f>
        <v>1.375</v>
      </c>
      <c r="L38" s="35">
        <f>J38/24*'в часах'!L55</f>
        <v>0</v>
      </c>
      <c r="M38" s="35">
        <f>J38/16*'в часах'!M55</f>
        <v>70456.181250000009</v>
      </c>
      <c r="N38" s="35">
        <f>J38/16*'в часах'!N55</f>
        <v>120782.02500000001</v>
      </c>
      <c r="O38" s="35">
        <f>J38/16*'в часах'!O55</f>
        <v>30195.506250000002</v>
      </c>
      <c r="P38" s="35">
        <f t="shared" si="7"/>
        <v>221433.71250000002</v>
      </c>
      <c r="Q38" s="47">
        <f>P38*'в часах'!P55</f>
        <v>55358.428125000006</v>
      </c>
      <c r="R38" s="47">
        <f t="shared" si="8"/>
        <v>276792.140625</v>
      </c>
      <c r="S38" s="35">
        <f>P38*'в часах'!Q55</f>
        <v>22143.371250000004</v>
      </c>
      <c r="T38" s="35">
        <f t="shared" si="2"/>
        <v>83037.642187499994</v>
      </c>
      <c r="U38" s="35">
        <f>17697*40%/16*'в часах'!S55</f>
        <v>442.42500000000001</v>
      </c>
      <c r="V38" s="48">
        <f>17697*20%/16*'в часах'!T55</f>
        <v>0</v>
      </c>
      <c r="W38" s="48">
        <f>17697*40%/16*'в часах'!U55</f>
        <v>0</v>
      </c>
      <c r="X38" s="48">
        <f>17697*25%/16*'в часах'!V55</f>
        <v>1106.0625</v>
      </c>
      <c r="Y38" s="48">
        <f>17697*50%/16*'в часах'!W55</f>
        <v>2212.125</v>
      </c>
      <c r="Z38" s="48">
        <f>17697*20%/16*'в часах'!X55</f>
        <v>0</v>
      </c>
      <c r="AA38" s="48">
        <f>17697*40%/16*'в часах'!Y55</f>
        <v>0</v>
      </c>
      <c r="AB38" s="48">
        <f>17697*25%/16*'в часах'!Z55</f>
        <v>1106.0625</v>
      </c>
      <c r="AC38" s="48">
        <f>17697*50%/16*'в часах'!AA55</f>
        <v>4424.25</v>
      </c>
      <c r="AD38" s="48">
        <f>17697*20%/16*'в часах'!AB55</f>
        <v>0</v>
      </c>
      <c r="AE38" s="48">
        <f>17697*40%/16*'в часах'!AC55</f>
        <v>0</v>
      </c>
      <c r="AF38" s="48">
        <f>17697*25%/16*'в часах'!AD55</f>
        <v>829.546875</v>
      </c>
      <c r="AG38" s="48">
        <f>17697*50%/16*'в часах'!AE55</f>
        <v>0</v>
      </c>
      <c r="AH38" s="48">
        <f>17697*'в часах'!AF53</f>
        <v>0</v>
      </c>
      <c r="AI38" s="48">
        <f>17697*'в часах'!AG54</f>
        <v>0</v>
      </c>
      <c r="AJ38" s="48">
        <f>17697*'в часах'!AH54</f>
        <v>0</v>
      </c>
      <c r="AK38" s="48">
        <f>17697*'в часах'!AI54</f>
        <v>0</v>
      </c>
      <c r="AL38" s="48">
        <f>17697*'в часах'!AJ55</f>
        <v>0</v>
      </c>
      <c r="AM38" s="48">
        <f>17697*'в часах'!AK55</f>
        <v>0</v>
      </c>
      <c r="AN38" s="35"/>
      <c r="AO38" s="35">
        <f>R38*'в часах'!AM55</f>
        <v>0</v>
      </c>
      <c r="AP38" s="35">
        <f>R38*'в часах'!AN55</f>
        <v>96877.249218749988</v>
      </c>
      <c r="AQ38" s="35">
        <f>R38*'в часах'!AO55</f>
        <v>0</v>
      </c>
      <c r="AR38" s="35">
        <f>3063*'в часах'!AP55</f>
        <v>0</v>
      </c>
      <c r="AS38" s="35">
        <f>17697*'в часах'!AQ55</f>
        <v>0</v>
      </c>
      <c r="AT38" s="35">
        <f>17697*'в часах'!AR55</f>
        <v>0</v>
      </c>
      <c r="AU38" s="35">
        <f>17697*'в часах'!AS55</f>
        <v>0</v>
      </c>
      <c r="AV38" s="35">
        <f>17697*'в часах'!AT55</f>
        <v>3539.4</v>
      </c>
      <c r="AW38" s="35">
        <f>17697*'в часах'!AU55</f>
        <v>0</v>
      </c>
      <c r="AX38" s="49">
        <f t="shared" si="3"/>
        <v>215718.13453124996</v>
      </c>
      <c r="AY38" s="49">
        <f t="shared" si="9"/>
        <v>492510.27515624999</v>
      </c>
      <c r="AZ38" s="49">
        <v>12</v>
      </c>
      <c r="BA38" s="49">
        <f t="shared" si="10"/>
        <v>5910123.3018749999</v>
      </c>
      <c r="BB38" s="40"/>
    </row>
    <row r="39" spans="1:54" s="38" customFormat="1" ht="48" x14ac:dyDescent="0.2">
      <c r="A39" s="32">
        <f t="shared" si="6"/>
        <v>22</v>
      </c>
      <c r="B39" s="32" t="str">
        <f>'в часах'!B56</f>
        <v>Груздева Кристина Владимировна</v>
      </c>
      <c r="C39" s="32" t="str">
        <f>'в часах'!C56</f>
        <v>история</v>
      </c>
      <c r="D39" s="32" t="str">
        <f>'в часах'!D56</f>
        <v>высшее Кокшетауский унив. Им.Мырзахметова 2020</v>
      </c>
      <c r="E39" s="32" t="str">
        <f>'в часах'!E56</f>
        <v>06.10.15</v>
      </c>
      <c r="F39" s="32" t="str">
        <f>'в часах'!F56</f>
        <v>б\к</v>
      </c>
      <c r="G39" s="32" t="str">
        <f>'в часах'!G56</f>
        <v>B24 - 05-07</v>
      </c>
      <c r="H39" s="32">
        <f>'в часах'!H56</f>
        <v>4.2699999999999996</v>
      </c>
      <c r="I39" s="32">
        <f>'в часах'!I56</f>
        <v>1.75</v>
      </c>
      <c r="J39" s="45">
        <f>'в часах'!J56</f>
        <v>132240.83249999999</v>
      </c>
      <c r="K39" s="44">
        <f>'в часах'!K56</f>
        <v>1.375</v>
      </c>
      <c r="L39" s="35">
        <f>J39/24*'в часах'!L56</f>
        <v>0</v>
      </c>
      <c r="M39" s="35">
        <f>J39/16*'в часах'!M56</f>
        <v>0</v>
      </c>
      <c r="N39" s="35">
        <f>J39/16*'в часах'!N56</f>
        <v>132240.83249999999</v>
      </c>
      <c r="O39" s="35">
        <f>J39/16*'в часах'!O56</f>
        <v>49590.312187499992</v>
      </c>
      <c r="P39" s="35">
        <f t="shared" si="7"/>
        <v>181831.14468749997</v>
      </c>
      <c r="Q39" s="47">
        <f>P39*'в часах'!P56</f>
        <v>45457.786171874992</v>
      </c>
      <c r="R39" s="47">
        <f t="shared" si="8"/>
        <v>227288.93085937496</v>
      </c>
      <c r="S39" s="35">
        <f>P39*'в часах'!Q56</f>
        <v>18183.114468749998</v>
      </c>
      <c r="T39" s="35">
        <f t="shared" si="2"/>
        <v>68186.679257812488</v>
      </c>
      <c r="U39" s="35">
        <f>17697*40%/16*'в часах'!S56</f>
        <v>0</v>
      </c>
      <c r="V39" s="48">
        <f>17697*20%/16*'в часах'!T56</f>
        <v>0</v>
      </c>
      <c r="W39" s="48">
        <f>17697*40%/16*'в часах'!U56</f>
        <v>0</v>
      </c>
      <c r="X39" s="48">
        <f>17697*25%/16*'в часах'!V56</f>
        <v>0</v>
      </c>
      <c r="Y39" s="48">
        <f>17697*50%/16*'в часах'!W56</f>
        <v>0</v>
      </c>
      <c r="Z39" s="48">
        <f>17697*20%/16*'в часах'!X56</f>
        <v>0</v>
      </c>
      <c r="AA39" s="48">
        <f>17697*40%/16*'в часах'!Y56</f>
        <v>0</v>
      </c>
      <c r="AB39" s="48">
        <f>17697*25%/16*'в часах'!Z56</f>
        <v>0</v>
      </c>
      <c r="AC39" s="48">
        <f>17697*50%/16*'в часах'!AA56</f>
        <v>0</v>
      </c>
      <c r="AD39" s="48">
        <f>17697*20%/16*'в часах'!AB56</f>
        <v>0</v>
      </c>
      <c r="AE39" s="48">
        <f>17697*40%/16*'в часах'!AC56</f>
        <v>0</v>
      </c>
      <c r="AF39" s="48">
        <f>17697*25%/16*'в часах'!AD56</f>
        <v>0</v>
      </c>
      <c r="AG39" s="48">
        <f>17697*50%/16*'в часах'!AE56</f>
        <v>0</v>
      </c>
      <c r="AH39" s="48">
        <f>17697*'в часах'!AF54</f>
        <v>0</v>
      </c>
      <c r="AI39" s="48">
        <f>17697*'в часах'!AG55</f>
        <v>0</v>
      </c>
      <c r="AJ39" s="48">
        <f>17697*'в часах'!AH55</f>
        <v>0</v>
      </c>
      <c r="AK39" s="48">
        <f>17697*'в часах'!AI55</f>
        <v>0</v>
      </c>
      <c r="AL39" s="48">
        <f>17697*'в часах'!AJ56</f>
        <v>0</v>
      </c>
      <c r="AM39" s="48">
        <f>17697*'в часах'!AK56</f>
        <v>0</v>
      </c>
      <c r="AN39" s="35"/>
      <c r="AO39" s="35">
        <f>R39*'в часах'!AM56</f>
        <v>0</v>
      </c>
      <c r="AP39" s="35">
        <f>R39*'в часах'!AN56</f>
        <v>0</v>
      </c>
      <c r="AQ39" s="35">
        <f>R39*'в часах'!AO56</f>
        <v>0</v>
      </c>
      <c r="AR39" s="35">
        <f>3063*'в часах'!AP56</f>
        <v>0</v>
      </c>
      <c r="AS39" s="35">
        <f>17697*'в часах'!AQ56</f>
        <v>0</v>
      </c>
      <c r="AT39" s="35">
        <f>17697*'в часах'!AR56</f>
        <v>0</v>
      </c>
      <c r="AU39" s="35">
        <f>17697*'в часах'!AS56</f>
        <v>0</v>
      </c>
      <c r="AV39" s="35">
        <f>17697*'в часах'!AT56</f>
        <v>0</v>
      </c>
      <c r="AW39" s="35">
        <f>17697*'в часах'!AU56</f>
        <v>0</v>
      </c>
      <c r="AX39" s="49">
        <f t="shared" si="3"/>
        <v>86369.793726562493</v>
      </c>
      <c r="AY39" s="49">
        <f t="shared" si="9"/>
        <v>313658.72458593745</v>
      </c>
      <c r="AZ39" s="49">
        <v>12</v>
      </c>
      <c r="BA39" s="49">
        <f t="shared" si="10"/>
        <v>3763904.6950312494</v>
      </c>
      <c r="BB39" s="40"/>
    </row>
    <row r="40" spans="1:54" s="38" customFormat="1" ht="12" x14ac:dyDescent="0.2">
      <c r="A40" s="32">
        <f t="shared" si="6"/>
        <v>23</v>
      </c>
      <c r="B40" s="32" t="e">
        <f>'в часах'!#REF!</f>
        <v>#REF!</v>
      </c>
      <c r="C40" s="32" t="e">
        <f>'в часах'!#REF!</f>
        <v>#REF!</v>
      </c>
      <c r="D40" s="32" t="e">
        <f>'в часах'!#REF!</f>
        <v>#REF!</v>
      </c>
      <c r="E40" s="32" t="e">
        <f>'в часах'!#REF!</f>
        <v>#REF!</v>
      </c>
      <c r="F40" s="32" t="e">
        <f>'в часах'!#REF!</f>
        <v>#REF!</v>
      </c>
      <c r="G40" s="32" t="e">
        <f>'в часах'!#REF!</f>
        <v>#REF!</v>
      </c>
      <c r="H40" s="32" t="e">
        <f>'в часах'!#REF!</f>
        <v>#REF!</v>
      </c>
      <c r="I40" s="32" t="e">
        <f>'в часах'!#REF!</f>
        <v>#REF!</v>
      </c>
      <c r="J40" s="45" t="e">
        <f>'в часах'!#REF!</f>
        <v>#REF!</v>
      </c>
      <c r="K40" s="44" t="e">
        <f>'в часах'!#REF!</f>
        <v>#REF!</v>
      </c>
      <c r="L40" s="35" t="e">
        <f>J40/24*'в часах'!#REF!</f>
        <v>#REF!</v>
      </c>
      <c r="M40" s="35" t="e">
        <f>J40/16*'в часах'!#REF!</f>
        <v>#REF!</v>
      </c>
      <c r="N40" s="35" t="e">
        <f>J40/16*'в часах'!#REF!</f>
        <v>#REF!</v>
      </c>
      <c r="O40" s="35" t="e">
        <f>J40/16*'в часах'!#REF!</f>
        <v>#REF!</v>
      </c>
      <c r="P40" s="35" t="e">
        <f t="shared" si="7"/>
        <v>#REF!</v>
      </c>
      <c r="Q40" s="47" t="e">
        <f>P40*'в часах'!#REF!</f>
        <v>#REF!</v>
      </c>
      <c r="R40" s="47" t="e">
        <f t="shared" si="8"/>
        <v>#REF!</v>
      </c>
      <c r="S40" s="35" t="e">
        <f>P40*'в часах'!#REF!</f>
        <v>#REF!</v>
      </c>
      <c r="T40" s="35" t="e">
        <f t="shared" si="2"/>
        <v>#REF!</v>
      </c>
      <c r="U40" s="35" t="e">
        <f>17697*40%/16*'в часах'!#REF!</f>
        <v>#REF!</v>
      </c>
      <c r="V40" s="48" t="e">
        <f>17697*20%/16*'в часах'!#REF!</f>
        <v>#REF!</v>
      </c>
      <c r="W40" s="48" t="e">
        <f>17697*40%/16*'в часах'!#REF!</f>
        <v>#REF!</v>
      </c>
      <c r="X40" s="48" t="e">
        <f>17697*25%/16*'в часах'!#REF!</f>
        <v>#REF!</v>
      </c>
      <c r="Y40" s="48" t="e">
        <f>17697*50%/16*'в часах'!#REF!</f>
        <v>#REF!</v>
      </c>
      <c r="Z40" s="48" t="e">
        <f>17697*20%/16*'в часах'!#REF!</f>
        <v>#REF!</v>
      </c>
      <c r="AA40" s="48" t="e">
        <f>17697*40%/16*'в часах'!#REF!</f>
        <v>#REF!</v>
      </c>
      <c r="AB40" s="48" t="e">
        <f>17697*25%/16*'в часах'!#REF!</f>
        <v>#REF!</v>
      </c>
      <c r="AC40" s="48" t="e">
        <f>17697*50%/16*'в часах'!#REF!</f>
        <v>#REF!</v>
      </c>
      <c r="AD40" s="48" t="e">
        <f>17697*20%/16*'в часах'!#REF!</f>
        <v>#REF!</v>
      </c>
      <c r="AE40" s="48" t="e">
        <f>17697*40%/16*'в часах'!#REF!</f>
        <v>#REF!</v>
      </c>
      <c r="AF40" s="48" t="e">
        <f>17697*25%/16*'в часах'!#REF!</f>
        <v>#REF!</v>
      </c>
      <c r="AG40" s="48" t="e">
        <f>17697*50%/16*'в часах'!#REF!</f>
        <v>#REF!</v>
      </c>
      <c r="AH40" s="48">
        <f>17697*'в часах'!AF55</f>
        <v>0</v>
      </c>
      <c r="AI40" s="48">
        <f>17697*'в часах'!AG56</f>
        <v>0</v>
      </c>
      <c r="AJ40" s="48">
        <f>17697*'в часах'!AH56</f>
        <v>0</v>
      </c>
      <c r="AK40" s="48">
        <f>17697*'в часах'!AI56</f>
        <v>10618.199999999999</v>
      </c>
      <c r="AL40" s="48" t="e">
        <f>17697*'в часах'!#REF!</f>
        <v>#REF!</v>
      </c>
      <c r="AM40" s="48" t="e">
        <f>17697*'в часах'!#REF!</f>
        <v>#REF!</v>
      </c>
      <c r="AN40" s="35"/>
      <c r="AO40" s="35" t="e">
        <f>R40*'в часах'!#REF!</f>
        <v>#REF!</v>
      </c>
      <c r="AP40" s="35" t="e">
        <f>R40*'в часах'!#REF!</f>
        <v>#REF!</v>
      </c>
      <c r="AQ40" s="35" t="e">
        <f>R40*'в часах'!#REF!</f>
        <v>#REF!</v>
      </c>
      <c r="AR40" s="35" t="e">
        <f>3063*'в часах'!#REF!</f>
        <v>#REF!</v>
      </c>
      <c r="AS40" s="35" t="e">
        <f>17697*'в часах'!#REF!</f>
        <v>#REF!</v>
      </c>
      <c r="AT40" s="35" t="e">
        <f>17697*'в часах'!#REF!</f>
        <v>#REF!</v>
      </c>
      <c r="AU40" s="35" t="e">
        <f>17697*'в часах'!#REF!</f>
        <v>#REF!</v>
      </c>
      <c r="AV40" s="35" t="e">
        <f>17697*'в часах'!#REF!</f>
        <v>#REF!</v>
      </c>
      <c r="AW40" s="35" t="e">
        <f>17697*'в часах'!#REF!</f>
        <v>#REF!</v>
      </c>
      <c r="AX40" s="49" t="e">
        <f t="shared" si="3"/>
        <v>#REF!</v>
      </c>
      <c r="AY40" s="49" t="e">
        <f t="shared" si="9"/>
        <v>#REF!</v>
      </c>
      <c r="AZ40" s="49">
        <v>12</v>
      </c>
      <c r="BA40" s="49" t="e">
        <f t="shared" si="10"/>
        <v>#REF!</v>
      </c>
      <c r="BB40" s="40"/>
    </row>
    <row r="41" spans="1:54" s="38" customFormat="1" ht="36" x14ac:dyDescent="0.2">
      <c r="A41" s="32">
        <f t="shared" si="6"/>
        <v>24</v>
      </c>
      <c r="B41" s="32" t="str">
        <f>'в часах'!B57</f>
        <v>Груздева Кристина Владимировна</v>
      </c>
      <c r="C41" s="32" t="str">
        <f>'в часах'!C57</f>
        <v>социально-бытовая ориентация</v>
      </c>
      <c r="D41" s="32" t="str">
        <f>'в часах'!D57</f>
        <v>магистратура Кокшетауский унив. Ш.Уалиханова,2016</v>
      </c>
      <c r="E41" s="32" t="str">
        <f>'в часах'!E57</f>
        <v>06.10.15</v>
      </c>
      <c r="F41" s="32" t="str">
        <f>'в часах'!F57</f>
        <v>вторая №55 от 28.04.2018</v>
      </c>
      <c r="G41" s="32" t="str">
        <f>'в часах'!G57</f>
        <v>В23-05-07</v>
      </c>
      <c r="H41" s="32">
        <f>'в часах'!H57</f>
        <v>4.66</v>
      </c>
      <c r="I41" s="32">
        <f>'в часах'!I57</f>
        <v>1.75</v>
      </c>
      <c r="J41" s="45">
        <f>'в часах'!J57</f>
        <v>144319.035</v>
      </c>
      <c r="K41" s="44">
        <f>'в часах'!K57</f>
        <v>0</v>
      </c>
      <c r="L41" s="35">
        <f>J41/24*'в часах'!L57</f>
        <v>0</v>
      </c>
      <c r="M41" s="35">
        <f>J41/16*'в часах'!M57</f>
        <v>0</v>
      </c>
      <c r="N41" s="35">
        <f>J41/16*'в часах'!N57</f>
        <v>0</v>
      </c>
      <c r="O41" s="35">
        <f>J41/16*'в часах'!O57</f>
        <v>0</v>
      </c>
      <c r="P41" s="35">
        <f t="shared" si="7"/>
        <v>0</v>
      </c>
      <c r="Q41" s="47">
        <f>P41*'в часах'!P57</f>
        <v>0</v>
      </c>
      <c r="R41" s="47">
        <f t="shared" si="8"/>
        <v>0</v>
      </c>
      <c r="S41" s="35">
        <f>P41*'в часах'!Q57</f>
        <v>0</v>
      </c>
      <c r="T41" s="35">
        <f t="shared" si="2"/>
        <v>0</v>
      </c>
      <c r="U41" s="35">
        <f>17697*40%/16*'в часах'!S57</f>
        <v>442.42500000000001</v>
      </c>
      <c r="V41" s="48">
        <f>17697*20%/16*'в часах'!T57</f>
        <v>0</v>
      </c>
      <c r="W41" s="48">
        <f>17697*40%/16*'в часах'!U57</f>
        <v>0</v>
      </c>
      <c r="X41" s="48">
        <f>17697*25%/16*'в часах'!V57</f>
        <v>0</v>
      </c>
      <c r="Y41" s="48">
        <f>17697*50%/16*'в часах'!W57</f>
        <v>0</v>
      </c>
      <c r="Z41" s="48">
        <f>17697*20%/16*'в часах'!X57</f>
        <v>0</v>
      </c>
      <c r="AA41" s="48">
        <f>17697*40%/16*'в часах'!Y57</f>
        <v>0</v>
      </c>
      <c r="AB41" s="48">
        <f>17697*25%/16*'в часах'!Z57</f>
        <v>0</v>
      </c>
      <c r="AC41" s="48">
        <f>17697*50%/16*'в часах'!AA57</f>
        <v>0</v>
      </c>
      <c r="AD41" s="48">
        <f>17697*20%/16*'в часах'!AB57</f>
        <v>0</v>
      </c>
      <c r="AE41" s="48">
        <f>17697*40%/16*'в часах'!AC57</f>
        <v>0</v>
      </c>
      <c r="AF41" s="48">
        <f>17697*25%/16*'в часах'!AD57</f>
        <v>0</v>
      </c>
      <c r="AG41" s="48">
        <f>17697*50%/16*'в часах'!AE57</f>
        <v>0</v>
      </c>
      <c r="AH41" s="48">
        <f>17697*'в часах'!AF56</f>
        <v>0</v>
      </c>
      <c r="AI41" s="48" t="e">
        <f>17697*'в часах'!#REF!</f>
        <v>#REF!</v>
      </c>
      <c r="AJ41" s="48" t="e">
        <f>17697*'в часах'!#REF!</f>
        <v>#REF!</v>
      </c>
      <c r="AK41" s="48" t="e">
        <f>17697*'в часах'!#REF!</f>
        <v>#REF!</v>
      </c>
      <c r="AL41" s="48">
        <f>17697*'в часах'!AJ57</f>
        <v>0</v>
      </c>
      <c r="AM41" s="48">
        <f>17697*'в часах'!AK57</f>
        <v>0</v>
      </c>
      <c r="AN41" s="35"/>
      <c r="AO41" s="35">
        <f>R41*'в часах'!AM57</f>
        <v>0</v>
      </c>
      <c r="AP41" s="35">
        <f>R41*'в часах'!AN57</f>
        <v>0</v>
      </c>
      <c r="AQ41" s="35">
        <f>R41*'в часах'!AO57</f>
        <v>0</v>
      </c>
      <c r="AR41" s="35">
        <f>3063*'в часах'!AP57</f>
        <v>30630</v>
      </c>
      <c r="AS41" s="35">
        <f>17697*'в часах'!AQ57</f>
        <v>0</v>
      </c>
      <c r="AT41" s="35">
        <f>17697*'в часах'!AR57</f>
        <v>0</v>
      </c>
      <c r="AU41" s="35">
        <f>17697*'в часах'!AS57</f>
        <v>0</v>
      </c>
      <c r="AV41" s="35">
        <f>17697*'в часах'!AT57</f>
        <v>0</v>
      </c>
      <c r="AW41" s="35">
        <f>17697*'в часах'!AU57</f>
        <v>0</v>
      </c>
      <c r="AX41" s="49" t="e">
        <f t="shared" si="3"/>
        <v>#REF!</v>
      </c>
      <c r="AY41" s="49" t="e">
        <f t="shared" si="9"/>
        <v>#REF!</v>
      </c>
      <c r="AZ41" s="49">
        <v>12</v>
      </c>
      <c r="BA41" s="49" t="e">
        <f t="shared" si="10"/>
        <v>#REF!</v>
      </c>
      <c r="BB41" s="40"/>
    </row>
    <row r="42" spans="1:54" s="38" customFormat="1" ht="48" x14ac:dyDescent="0.2">
      <c r="A42" s="32">
        <f t="shared" si="6"/>
        <v>25</v>
      </c>
      <c r="B42" s="32" t="str">
        <f>'в часах'!B58</f>
        <v>Каламыцева Надежда Алексеевна</v>
      </c>
      <c r="C42" s="32" t="str">
        <f>'в часах'!C58</f>
        <v>начальные классы</v>
      </c>
      <c r="D42" s="32" t="str">
        <f>'в часах'!D58</f>
        <v>высшееЦентрально-азиатский университет.</v>
      </c>
      <c r="E42" s="32" t="str">
        <f>'в часах'!E58</f>
        <v>21.00.01.</v>
      </c>
      <c r="F42" s="32" t="str">
        <f>'в часах'!F58</f>
        <v>педагог-эксперт№ 553 от 20.12.2021</v>
      </c>
      <c r="G42" s="32" t="str">
        <f>'в часах'!G58</f>
        <v>B22 - 20-25</v>
      </c>
      <c r="H42" s="32">
        <f>'в часах'!H58</f>
        <v>5.12</v>
      </c>
      <c r="I42" s="32">
        <f>'в часах'!I58</f>
        <v>1.75</v>
      </c>
      <c r="J42" s="45">
        <f>'в часах'!J58</f>
        <v>158565.12</v>
      </c>
      <c r="K42" s="44">
        <f>'в часах'!K58</f>
        <v>1</v>
      </c>
      <c r="L42" s="35">
        <f>J42/24*'в часах'!L58</f>
        <v>0</v>
      </c>
      <c r="M42" s="35">
        <f>J42/16*'в часах'!M58</f>
        <v>158565.12</v>
      </c>
      <c r="N42" s="35">
        <f>J42/16*'в часах'!N58</f>
        <v>0</v>
      </c>
      <c r="O42" s="35">
        <f>J42/16*'в часах'!O58</f>
        <v>0</v>
      </c>
      <c r="P42" s="35">
        <f t="shared" si="7"/>
        <v>158565.12</v>
      </c>
      <c r="Q42" s="47">
        <f>P42*'в часах'!P58</f>
        <v>39641.279999999999</v>
      </c>
      <c r="R42" s="47">
        <f t="shared" si="8"/>
        <v>198206.4</v>
      </c>
      <c r="S42" s="35">
        <f>P42*'в часах'!Q58</f>
        <v>15856.512000000001</v>
      </c>
      <c r="T42" s="35">
        <f t="shared" si="2"/>
        <v>59461.919999999998</v>
      </c>
      <c r="U42" s="35">
        <f>17697*40%/16*'в часах'!S58</f>
        <v>0</v>
      </c>
      <c r="V42" s="48">
        <f>17697*20%/16*'в часах'!T58</f>
        <v>3539.4</v>
      </c>
      <c r="W42" s="48">
        <f>17697*40%/16*'в часах'!U58</f>
        <v>0</v>
      </c>
      <c r="X42" s="48">
        <f>17697*25%/16*'в часах'!V58</f>
        <v>0</v>
      </c>
      <c r="Y42" s="48">
        <f>17697*50%/16*'в часах'!W58</f>
        <v>0</v>
      </c>
      <c r="Z42" s="48">
        <f>17697*20%/16*'в часах'!X58</f>
        <v>0</v>
      </c>
      <c r="AA42" s="48">
        <f>17697*40%/16*'в часах'!Y58</f>
        <v>0</v>
      </c>
      <c r="AB42" s="48">
        <f>17697*25%/16*'в часах'!Z58</f>
        <v>0</v>
      </c>
      <c r="AC42" s="48">
        <f>17697*50%/16*'в часах'!AA58</f>
        <v>0</v>
      </c>
      <c r="AD42" s="48">
        <f>17697*20%/16*'в часах'!AB58</f>
        <v>0</v>
      </c>
      <c r="AE42" s="48">
        <f>17697*40%/16*'в часах'!AC58</f>
        <v>0</v>
      </c>
      <c r="AF42" s="48">
        <f>17697*25%/16*'в часах'!AD58</f>
        <v>0</v>
      </c>
      <c r="AG42" s="48">
        <f>17697*50%/16*'в часах'!AE58</f>
        <v>0</v>
      </c>
      <c r="AH42" s="48" t="e">
        <f>17697*'в часах'!#REF!</f>
        <v>#REF!</v>
      </c>
      <c r="AI42" s="48">
        <f>17697*'в часах'!AG57</f>
        <v>0</v>
      </c>
      <c r="AJ42" s="48">
        <f>17697*'в часах'!AH57</f>
        <v>0</v>
      </c>
      <c r="AK42" s="48">
        <f>17697*'в часах'!AI57</f>
        <v>0</v>
      </c>
      <c r="AL42" s="48">
        <f>17697*'в часах'!AJ58</f>
        <v>0</v>
      </c>
      <c r="AM42" s="48">
        <f>17697*'в часах'!AK58</f>
        <v>0</v>
      </c>
      <c r="AN42" s="35"/>
      <c r="AO42" s="35">
        <f>R42*'в часах'!AM58</f>
        <v>0</v>
      </c>
      <c r="AP42" s="35">
        <f>R42*'в часах'!AN58</f>
        <v>69372.239999999991</v>
      </c>
      <c r="AQ42" s="35">
        <f>R42*'в часах'!AO58</f>
        <v>0</v>
      </c>
      <c r="AR42" s="35">
        <f>3063*'в часах'!AP58</f>
        <v>0</v>
      </c>
      <c r="AS42" s="35">
        <f>17697*'в часах'!AQ58</f>
        <v>0</v>
      </c>
      <c r="AT42" s="35">
        <f>17697*'в часах'!AR58</f>
        <v>0</v>
      </c>
      <c r="AU42" s="35">
        <f>17697*'в часах'!AS58</f>
        <v>0</v>
      </c>
      <c r="AV42" s="35">
        <f>17697*'в часах'!AT58</f>
        <v>3539.4</v>
      </c>
      <c r="AW42" s="35">
        <f>17697*'в часах'!AU58</f>
        <v>0</v>
      </c>
      <c r="AX42" s="49" t="e">
        <f t="shared" si="3"/>
        <v>#REF!</v>
      </c>
      <c r="AY42" s="49" t="e">
        <f t="shared" si="9"/>
        <v>#REF!</v>
      </c>
      <c r="AZ42" s="49">
        <v>12</v>
      </c>
      <c r="BA42" s="49" t="e">
        <f t="shared" si="10"/>
        <v>#REF!</v>
      </c>
      <c r="BB42" s="40"/>
    </row>
    <row r="43" spans="1:54" s="38" customFormat="1" ht="36" x14ac:dyDescent="0.2">
      <c r="A43" s="32">
        <f t="shared" si="6"/>
        <v>26</v>
      </c>
      <c r="B43" s="32" t="str">
        <f>'в часах'!B59</f>
        <v>Каламыцева Надежда Алексеевна</v>
      </c>
      <c r="C43" s="32" t="str">
        <f>'в часах'!C59</f>
        <v>Глобальная компетенция</v>
      </c>
      <c r="D43" s="32" t="str">
        <f>'в часах'!D59</f>
        <v>высшееЦентрально-азиатский университет.</v>
      </c>
      <c r="E43" s="32" t="str">
        <f>'в часах'!E59</f>
        <v>21.00.01.</v>
      </c>
      <c r="F43" s="32" t="str">
        <f>'в часах'!F59</f>
        <v>б\к</v>
      </c>
      <c r="G43" s="32" t="str">
        <f>'в часах'!G59</f>
        <v>В24 -20-25</v>
      </c>
      <c r="H43" s="32">
        <f>'в часах'!H59</f>
        <v>4.67</v>
      </c>
      <c r="I43" s="32">
        <f>'в часах'!I59</f>
        <v>1.75</v>
      </c>
      <c r="J43" s="45">
        <f>'в часах'!J59</f>
        <v>144628.73249999998</v>
      </c>
      <c r="K43" s="44">
        <f>'в часах'!K59</f>
        <v>0.1875</v>
      </c>
      <c r="L43" s="35">
        <f>J43/24*'в часах'!L59</f>
        <v>0</v>
      </c>
      <c r="M43" s="35">
        <f>J43/16*'в часах'!M59</f>
        <v>0</v>
      </c>
      <c r="N43" s="35">
        <f>J43/16*'в часах'!N59</f>
        <v>9039.295781249999</v>
      </c>
      <c r="O43" s="35">
        <f>J43/16*'в часах'!O59</f>
        <v>18078.591562499998</v>
      </c>
      <c r="P43" s="35">
        <f t="shared" si="7"/>
        <v>27117.887343749997</v>
      </c>
      <c r="Q43" s="47">
        <f>P43*'в часах'!P59</f>
        <v>6779.4718359374992</v>
      </c>
      <c r="R43" s="47">
        <f t="shared" si="8"/>
        <v>33897.359179687497</v>
      </c>
      <c r="S43" s="35">
        <f>P43*'в часах'!Q59</f>
        <v>2711.7887343749999</v>
      </c>
      <c r="T43" s="35">
        <f t="shared" si="2"/>
        <v>10169.207753906248</v>
      </c>
      <c r="U43" s="35">
        <f>17697*40%/16*'в часах'!S59</f>
        <v>0</v>
      </c>
      <c r="V43" s="48">
        <f>17697*20%/16*'в часах'!T59</f>
        <v>0</v>
      </c>
      <c r="W43" s="48">
        <f>17697*40%/16*'в часах'!U59</f>
        <v>0</v>
      </c>
      <c r="X43" s="48">
        <f>17697*25%/16*'в часах'!V59</f>
        <v>0</v>
      </c>
      <c r="Y43" s="48">
        <f>17697*50%/16*'в часах'!W59</f>
        <v>0</v>
      </c>
      <c r="Z43" s="48">
        <f>17697*20%/16*'в часах'!X59</f>
        <v>0</v>
      </c>
      <c r="AA43" s="48">
        <f>17697*40%/16*'в часах'!Y59</f>
        <v>0</v>
      </c>
      <c r="AB43" s="48">
        <f>17697*25%/16*'в часах'!Z59</f>
        <v>0</v>
      </c>
      <c r="AC43" s="48">
        <f>17697*50%/16*'в часах'!AA59</f>
        <v>0</v>
      </c>
      <c r="AD43" s="48">
        <f>17697*20%/16*'в часах'!AB59</f>
        <v>0</v>
      </c>
      <c r="AE43" s="48">
        <f>17697*40%/16*'в часах'!AC59</f>
        <v>0</v>
      </c>
      <c r="AF43" s="48">
        <f>17697*25%/16*'в часах'!AD59</f>
        <v>0</v>
      </c>
      <c r="AG43" s="48">
        <f>17697*50%/16*'в часах'!AE59</f>
        <v>0</v>
      </c>
      <c r="AH43" s="48">
        <f>17697*'в часах'!AF57</f>
        <v>0</v>
      </c>
      <c r="AI43" s="48">
        <f>17697*'в часах'!AG58</f>
        <v>0</v>
      </c>
      <c r="AJ43" s="48">
        <f>17697*'в часах'!AH58</f>
        <v>0</v>
      </c>
      <c r="AK43" s="48">
        <f>17697*'в часах'!AI58</f>
        <v>0</v>
      </c>
      <c r="AL43" s="48">
        <f>17697*'в часах'!AJ59</f>
        <v>0</v>
      </c>
      <c r="AM43" s="48">
        <f>17697*'в часах'!AK59</f>
        <v>0</v>
      </c>
      <c r="AN43" s="35"/>
      <c r="AO43" s="35">
        <f>R43*'в часах'!AM59</f>
        <v>0</v>
      </c>
      <c r="AP43" s="35">
        <f>R43*'в часах'!AN59</f>
        <v>0</v>
      </c>
      <c r="AQ43" s="35">
        <f>R43*'в часах'!AO59</f>
        <v>0</v>
      </c>
      <c r="AR43" s="35">
        <f>3063*'в часах'!AP59</f>
        <v>0</v>
      </c>
      <c r="AS43" s="35">
        <f>17697*'в часах'!AQ59</f>
        <v>0</v>
      </c>
      <c r="AT43" s="35">
        <f>17697*'в часах'!AR59</f>
        <v>0</v>
      </c>
      <c r="AU43" s="35">
        <f>17697*'в часах'!AS59</f>
        <v>0</v>
      </c>
      <c r="AV43" s="35">
        <f>17697*'в часах'!AT59</f>
        <v>0</v>
      </c>
      <c r="AW43" s="35">
        <f>17697*'в часах'!AU59</f>
        <v>0</v>
      </c>
      <c r="AX43" s="49">
        <f t="shared" si="3"/>
        <v>12880.996488281249</v>
      </c>
      <c r="AY43" s="49">
        <f t="shared" si="9"/>
        <v>46778.355667968746</v>
      </c>
      <c r="AZ43" s="49">
        <v>12</v>
      </c>
      <c r="BA43" s="49">
        <f t="shared" si="10"/>
        <v>561340.26801562496</v>
      </c>
      <c r="BB43" s="40"/>
    </row>
    <row r="44" spans="1:54" s="38" customFormat="1" ht="45.75" customHeight="1" x14ac:dyDescent="0.2">
      <c r="A44" s="32">
        <f t="shared" si="6"/>
        <v>27</v>
      </c>
      <c r="B44" s="32" t="str">
        <f>'в часах'!B60</f>
        <v>Агипа Тасхын</v>
      </c>
      <c r="C44" s="32" t="str">
        <f>'в часах'!C60</f>
        <v>казахский язык и литература</v>
      </c>
      <c r="D44" s="32" t="str">
        <f>'в часах'!D60</f>
        <v>высшее.Кокшетауский университет им. Ш. Уалиханова</v>
      </c>
      <c r="E44" s="32" t="str">
        <f>'в часах'!E60</f>
        <v>18.07.14</v>
      </c>
      <c r="F44" s="32" t="str">
        <f>'в часах'!F60</f>
        <v>педагог-модератор №445 от 29.06.2022</v>
      </c>
      <c r="G44" s="32" t="str">
        <f>'в часах'!G60</f>
        <v>В23 16-20</v>
      </c>
      <c r="H44" s="32">
        <f>'в часах'!H60</f>
        <v>4.99</v>
      </c>
      <c r="I44" s="32">
        <f>'в часах'!I60</f>
        <v>1.75</v>
      </c>
      <c r="J44" s="45">
        <f>'в часах'!J60</f>
        <v>154539.05250000002</v>
      </c>
      <c r="K44" s="44">
        <f>'в часах'!K60</f>
        <v>1.0833333333333333</v>
      </c>
      <c r="L44" s="35">
        <f>J44/24*'в часах'!L60</f>
        <v>12878.254375000002</v>
      </c>
      <c r="M44" s="35">
        <f>J44/16*'в часах'!M60</f>
        <v>48293.453906250004</v>
      </c>
      <c r="N44" s="35">
        <f>J44/16*'в часах'!N60</f>
        <v>77269.52625000001</v>
      </c>
      <c r="O44" s="35">
        <f>J44/16*'в часах'!O60</f>
        <v>28976.072343750006</v>
      </c>
      <c r="P44" s="35">
        <f t="shared" si="7"/>
        <v>167417.30687500004</v>
      </c>
      <c r="Q44" s="47">
        <f>P44*'в часах'!P60</f>
        <v>41854.32671875001</v>
      </c>
      <c r="R44" s="47">
        <f t="shared" si="8"/>
        <v>209271.63359375004</v>
      </c>
      <c r="S44" s="35">
        <f>P44*'в часах'!Q60</f>
        <v>16741.730687500003</v>
      </c>
      <c r="T44" s="35">
        <f t="shared" si="2"/>
        <v>57952.144687500004</v>
      </c>
      <c r="U44" s="35">
        <f>17697*40%/16*'в часах'!S60</f>
        <v>442.42500000000001</v>
      </c>
      <c r="V44" s="48">
        <f>17697*20%/16*'в часах'!T60</f>
        <v>0</v>
      </c>
      <c r="W44" s="48">
        <f>17697*40%/16*'в часах'!U60</f>
        <v>0</v>
      </c>
      <c r="X44" s="48">
        <f>17697*25%/16*'в часах'!V60</f>
        <v>1382.578125</v>
      </c>
      <c r="Y44" s="48">
        <f>17697*50%/16*'в часах'!W60</f>
        <v>0</v>
      </c>
      <c r="Z44" s="48">
        <f>17697*20%/16*'в часах'!X60</f>
        <v>0</v>
      </c>
      <c r="AA44" s="48">
        <f>17697*40%/16*'в часах'!Y60</f>
        <v>0</v>
      </c>
      <c r="AB44" s="48">
        <f>17697*25%/16*'в часах'!Z60</f>
        <v>276.515625</v>
      </c>
      <c r="AC44" s="48">
        <f>17697*50%/16*'в часах'!AA60</f>
        <v>4424.25</v>
      </c>
      <c r="AD44" s="48">
        <f>17697*20%/16*'в часах'!AB60</f>
        <v>0</v>
      </c>
      <c r="AE44" s="48">
        <f>17697*40%/16*'в часах'!AC60</f>
        <v>0</v>
      </c>
      <c r="AF44" s="48">
        <f>17697*25%/16*'в часах'!AD60</f>
        <v>829.546875</v>
      </c>
      <c r="AG44" s="48">
        <f>17697*50%/16*'в часах'!AE60</f>
        <v>0</v>
      </c>
      <c r="AH44" s="48">
        <f>17697*'в часах'!AF58</f>
        <v>4424.25</v>
      </c>
      <c r="AI44" s="48">
        <f>17697*'в часах'!AG59</f>
        <v>0</v>
      </c>
      <c r="AJ44" s="48">
        <f>17697*'в часах'!AH59</f>
        <v>0</v>
      </c>
      <c r="AK44" s="48">
        <f>17697*'в часах'!AI59</f>
        <v>0</v>
      </c>
      <c r="AL44" s="48">
        <f>17697*'в часах'!AJ60</f>
        <v>0</v>
      </c>
      <c r="AM44" s="48">
        <f>17697*'в часах'!AK60</f>
        <v>0</v>
      </c>
      <c r="AN44" s="35"/>
      <c r="AO44" s="35">
        <f>R44*'в часах'!AM60</f>
        <v>0</v>
      </c>
      <c r="AP44" s="35">
        <f>R44*'в часах'!AN60</f>
        <v>0</v>
      </c>
      <c r="AQ44" s="35">
        <f>R44*'в часах'!AO60</f>
        <v>62781.490078125011</v>
      </c>
      <c r="AR44" s="35">
        <f>3063*'в часах'!AP60</f>
        <v>0</v>
      </c>
      <c r="AS44" s="35">
        <f>17697*'в часах'!AQ60</f>
        <v>0</v>
      </c>
      <c r="AT44" s="35">
        <f>17697*'в часах'!AR60</f>
        <v>0</v>
      </c>
      <c r="AU44" s="35">
        <f>17697*'в часах'!AS60</f>
        <v>0</v>
      </c>
      <c r="AV44" s="35">
        <f>17697*'в часах'!AT60</f>
        <v>3539.4</v>
      </c>
      <c r="AW44" s="35">
        <f>17697*'в часах'!AU60</f>
        <v>0</v>
      </c>
      <c r="AX44" s="49">
        <f t="shared" si="3"/>
        <v>152794.33107812502</v>
      </c>
      <c r="AY44" s="49">
        <f t="shared" si="9"/>
        <v>362065.96467187506</v>
      </c>
      <c r="AZ44" s="49">
        <v>12</v>
      </c>
      <c r="BA44" s="49">
        <f t="shared" si="10"/>
        <v>4344791.5760625005</v>
      </c>
      <c r="BB44" s="40"/>
    </row>
    <row r="45" spans="1:54" s="38" customFormat="1" ht="36" x14ac:dyDescent="0.2">
      <c r="A45" s="32">
        <f t="shared" si="6"/>
        <v>28</v>
      </c>
      <c r="B45" s="32" t="str">
        <f>'в часах'!B61</f>
        <v>Гептина Галина Ивановна</v>
      </c>
      <c r="C45" s="32">
        <f>'в часах'!C61</f>
        <v>0</v>
      </c>
      <c r="D45" s="32" t="str">
        <f>'в часах'!D61</f>
        <v>высшее.Кокшетауский ГУ</v>
      </c>
      <c r="E45" s="32" t="str">
        <f>'в часах'!E61</f>
        <v>18.00.08.</v>
      </c>
      <c r="F45" s="32" t="str">
        <f>'в часах'!F61</f>
        <v xml:space="preserve">первая  № 302/а от 06.04.2018 </v>
      </c>
      <c r="G45" s="32" t="str">
        <f>'в часах'!G61</f>
        <v>B22 - 16-20</v>
      </c>
      <c r="H45" s="32">
        <f>'в часах'!H61</f>
        <v>5.03</v>
      </c>
      <c r="I45" s="32">
        <f>'в часах'!I61</f>
        <v>1.75</v>
      </c>
      <c r="J45" s="45">
        <f>'в часах'!J61</f>
        <v>155777.8425</v>
      </c>
      <c r="K45" s="44">
        <f>'в часах'!K61</f>
        <v>1.25</v>
      </c>
      <c r="L45" s="35">
        <f>J45/24*'в часах'!L61</f>
        <v>0</v>
      </c>
      <c r="M45" s="35">
        <f>J45/16*'в часах'!M61</f>
        <v>0</v>
      </c>
      <c r="N45" s="35">
        <f>J45/16*'в часах'!N61</f>
        <v>97361.151562500003</v>
      </c>
      <c r="O45" s="35">
        <f>J45/16*'в часах'!O61</f>
        <v>97361.151562500003</v>
      </c>
      <c r="P45" s="35">
        <f t="shared" si="7"/>
        <v>194722.30312500001</v>
      </c>
      <c r="Q45" s="47">
        <f>P45*'в часах'!P61</f>
        <v>48680.575781250001</v>
      </c>
      <c r="R45" s="47">
        <f t="shared" si="8"/>
        <v>243402.87890625</v>
      </c>
      <c r="S45" s="35">
        <f>P45*'в часах'!Q61</f>
        <v>19472.2303125</v>
      </c>
      <c r="T45" s="35">
        <f t="shared" si="2"/>
        <v>73020.863671874991</v>
      </c>
      <c r="U45" s="35">
        <f>17697*40%/16*'в часах'!S61</f>
        <v>0</v>
      </c>
      <c r="V45" s="48">
        <f>17697*20%/16*'в часах'!T61</f>
        <v>0</v>
      </c>
      <c r="W45" s="48">
        <f>17697*40%/16*'в часах'!U61</f>
        <v>0</v>
      </c>
      <c r="X45" s="48">
        <f>17697*25%/16*'в часах'!V61</f>
        <v>0</v>
      </c>
      <c r="Y45" s="48">
        <f>17697*50%/16*'в часах'!W61</f>
        <v>0</v>
      </c>
      <c r="Z45" s="48">
        <f>17697*20%/16*'в часах'!X61</f>
        <v>1106.0625</v>
      </c>
      <c r="AA45" s="48">
        <f>17697*40%/16*'в часах'!Y61</f>
        <v>2212.125</v>
      </c>
      <c r="AB45" s="48">
        <f>17697*25%/16*'в часах'!Z61</f>
        <v>0</v>
      </c>
      <c r="AC45" s="48">
        <f>17697*50%/16*'в часах'!AA61</f>
        <v>0</v>
      </c>
      <c r="AD45" s="48">
        <f>17697*20%/16*'в часах'!AB61</f>
        <v>2212.125</v>
      </c>
      <c r="AE45" s="48">
        <f>17697*40%/16*'в часах'!AC61</f>
        <v>0</v>
      </c>
      <c r="AF45" s="48">
        <f>17697*25%/16*'в часах'!AD61</f>
        <v>0</v>
      </c>
      <c r="AG45" s="48">
        <f>17697*50%/16*'в часах'!AE61</f>
        <v>0</v>
      </c>
      <c r="AH45" s="48">
        <f>17697*'в часах'!AF59</f>
        <v>0</v>
      </c>
      <c r="AI45" s="48">
        <f>17697*'в часах'!AG60</f>
        <v>0</v>
      </c>
      <c r="AJ45" s="48">
        <f>17697*'в часах'!AH60</f>
        <v>0</v>
      </c>
      <c r="AK45" s="48">
        <f>17697*'в часах'!AI60</f>
        <v>0</v>
      </c>
      <c r="AL45" s="48">
        <f>17697*'в часах'!AJ61</f>
        <v>0</v>
      </c>
      <c r="AM45" s="48">
        <f>17697*'в часах'!AK61</f>
        <v>0</v>
      </c>
      <c r="AN45" s="35"/>
      <c r="AO45" s="35">
        <f>R45*'в часах'!AM61</f>
        <v>0</v>
      </c>
      <c r="AP45" s="35">
        <f>R45*'в часах'!AN61</f>
        <v>0</v>
      </c>
      <c r="AQ45" s="35">
        <f>R45*'в часах'!AO61</f>
        <v>0</v>
      </c>
      <c r="AR45" s="35">
        <f>3063*'в часах'!AP61</f>
        <v>0</v>
      </c>
      <c r="AS45" s="35">
        <f>17697*'в часах'!AQ61</f>
        <v>0</v>
      </c>
      <c r="AT45" s="35">
        <f>17697*'в часах'!AR61</f>
        <v>0</v>
      </c>
      <c r="AU45" s="35">
        <f>17697*'в часах'!AS61</f>
        <v>0</v>
      </c>
      <c r="AV45" s="35">
        <f>17697*'в часах'!AT61</f>
        <v>3539.4</v>
      </c>
      <c r="AW45" s="35">
        <f>17697*'в часах'!AU61</f>
        <v>0</v>
      </c>
      <c r="AX45" s="49">
        <f t="shared" si="3"/>
        <v>101562.80648437499</v>
      </c>
      <c r="AY45" s="49">
        <f t="shared" si="9"/>
        <v>344965.68539062497</v>
      </c>
      <c r="AZ45" s="49">
        <v>12</v>
      </c>
      <c r="BA45" s="49">
        <f t="shared" si="10"/>
        <v>4139588.2246874999</v>
      </c>
      <c r="BB45" s="40"/>
    </row>
    <row r="46" spans="1:54" s="38" customFormat="1" ht="36" x14ac:dyDescent="0.2">
      <c r="A46" s="32">
        <f t="shared" si="6"/>
        <v>29</v>
      </c>
      <c r="B46" s="32" t="str">
        <f>'в часах'!B62</f>
        <v>Гептина Галина Ивановна</v>
      </c>
      <c r="C46" s="32" t="str">
        <f>'в часах'!C62</f>
        <v>математика</v>
      </c>
      <c r="D46" s="32" t="str">
        <f>'в часах'!D62</f>
        <v>высшее.Кокшетауский ГУ</v>
      </c>
      <c r="E46" s="32" t="str">
        <f>'в часах'!E62</f>
        <v>18.00.08.</v>
      </c>
      <c r="F46" s="32" t="str">
        <f>'в часах'!F62</f>
        <v>первая  № 302/а от 06.04.2019</v>
      </c>
      <c r="G46" s="32" t="str">
        <f>'в часах'!G62</f>
        <v>B22 - 16-20</v>
      </c>
      <c r="H46" s="32">
        <f>'в часах'!H62</f>
        <v>5.03</v>
      </c>
      <c r="I46" s="32">
        <f>'в часах'!I62</f>
        <v>1.75</v>
      </c>
      <c r="J46" s="45">
        <f>'в часах'!J62</f>
        <v>155777.8425</v>
      </c>
      <c r="K46" s="44">
        <f>'в часах'!K62</f>
        <v>0</v>
      </c>
      <c r="L46" s="35">
        <f>J46/24*'в часах'!L62</f>
        <v>0</v>
      </c>
      <c r="M46" s="35">
        <f>J46/16*'в часах'!M62</f>
        <v>0</v>
      </c>
      <c r="N46" s="35">
        <f>J46/16*'в часах'!N62</f>
        <v>0</v>
      </c>
      <c r="O46" s="35">
        <f>J46/16*'в часах'!O62</f>
        <v>0</v>
      </c>
      <c r="P46" s="35">
        <f t="shared" si="7"/>
        <v>0</v>
      </c>
      <c r="Q46" s="47">
        <f>P46*'в часах'!P62</f>
        <v>0</v>
      </c>
      <c r="R46" s="47">
        <f t="shared" si="8"/>
        <v>0</v>
      </c>
      <c r="S46" s="35">
        <f>P46*'в часах'!Q62</f>
        <v>0</v>
      </c>
      <c r="T46" s="35">
        <f t="shared" si="2"/>
        <v>0</v>
      </c>
      <c r="U46" s="35">
        <f>17697*40%/16*'в часах'!S62</f>
        <v>884.85</v>
      </c>
      <c r="V46" s="48">
        <f>17697*20%/16*'в часах'!T62</f>
        <v>0</v>
      </c>
      <c r="W46" s="48">
        <f>17697*40%/16*'в часах'!U62</f>
        <v>0</v>
      </c>
      <c r="X46" s="48">
        <f>17697*25%/16*'в часах'!V62</f>
        <v>0</v>
      </c>
      <c r="Y46" s="48">
        <f>17697*50%/16*'в часах'!W62</f>
        <v>0</v>
      </c>
      <c r="Z46" s="48">
        <f>17697*20%/16*'в часах'!X62</f>
        <v>442.42500000000001</v>
      </c>
      <c r="AA46" s="48">
        <f>17697*40%/16*'в часах'!Y62</f>
        <v>0</v>
      </c>
      <c r="AB46" s="48">
        <f>17697*25%/16*'в часах'!Z62</f>
        <v>0</v>
      </c>
      <c r="AC46" s="48">
        <f>17697*50%/16*'в часах'!AA62</f>
        <v>0</v>
      </c>
      <c r="AD46" s="48">
        <f>17697*20%/16*'в часах'!AB62</f>
        <v>0</v>
      </c>
      <c r="AE46" s="48">
        <f>17697*40%/16*'в часах'!AC62</f>
        <v>0</v>
      </c>
      <c r="AF46" s="48">
        <f>17697*25%/16*'в часах'!AD62</f>
        <v>0</v>
      </c>
      <c r="AG46" s="48">
        <f>17697*50%/16*'в часах'!AE62</f>
        <v>0</v>
      </c>
      <c r="AH46" s="48">
        <f>17697*'в часах'!AF60</f>
        <v>0</v>
      </c>
      <c r="AI46" s="48">
        <f>17697*'в часах'!AG61</f>
        <v>0</v>
      </c>
      <c r="AJ46" s="48">
        <f>17697*'в часах'!AH61</f>
        <v>0</v>
      </c>
      <c r="AK46" s="48">
        <f>17697*'в часах'!AI61</f>
        <v>10618.199999999999</v>
      </c>
      <c r="AL46" s="48">
        <f>17697*'в часах'!AJ62</f>
        <v>0</v>
      </c>
      <c r="AM46" s="48">
        <f>17697*'в часах'!AK62</f>
        <v>0</v>
      </c>
      <c r="AN46" s="35"/>
      <c r="AO46" s="35">
        <f>R46*'в часах'!AM62</f>
        <v>0</v>
      </c>
      <c r="AP46" s="35">
        <f>R46*'в часах'!AN62</f>
        <v>0</v>
      </c>
      <c r="AQ46" s="35">
        <f>R46*'в часах'!AO62</f>
        <v>0</v>
      </c>
      <c r="AR46" s="35">
        <f>3063*'в часах'!AP62</f>
        <v>0</v>
      </c>
      <c r="AS46" s="35">
        <f>17697*'в часах'!AQ62</f>
        <v>0</v>
      </c>
      <c r="AT46" s="35">
        <f>17697*'в часах'!AR62</f>
        <v>0</v>
      </c>
      <c r="AU46" s="35">
        <f>17697*'в часах'!AS62</f>
        <v>0</v>
      </c>
      <c r="AV46" s="35">
        <f>17697*'в часах'!AT62</f>
        <v>0</v>
      </c>
      <c r="AW46" s="35">
        <f>17697*'в часах'!AU62</f>
        <v>0</v>
      </c>
      <c r="AX46" s="49">
        <f t="shared" si="3"/>
        <v>11945.474999999999</v>
      </c>
      <c r="AY46" s="49">
        <f t="shared" si="9"/>
        <v>11945.474999999999</v>
      </c>
      <c r="AZ46" s="49">
        <v>12</v>
      </c>
      <c r="BA46" s="49">
        <f t="shared" si="10"/>
        <v>143345.69999999998</v>
      </c>
      <c r="BB46" s="40"/>
    </row>
    <row r="47" spans="1:54" s="38" customFormat="1" ht="24" x14ac:dyDescent="0.2">
      <c r="A47" s="32">
        <f t="shared" si="6"/>
        <v>30</v>
      </c>
      <c r="B47" s="32" t="str">
        <f>'в часах'!B63</f>
        <v>Момунова Виктория Сергеевна</v>
      </c>
      <c r="C47" s="32" t="str">
        <f>'в часах'!C63</f>
        <v>воспитатель предшколы</v>
      </c>
      <c r="D47" s="32" t="str">
        <f>'в часах'!D63</f>
        <v>учитель (курсы переподготовки)</v>
      </c>
      <c r="E47" s="32" t="str">
        <f>'в часах'!E63</f>
        <v>07.00.01</v>
      </c>
      <c r="F47" s="32" t="str">
        <f>'в часах'!F63</f>
        <v>б\к</v>
      </c>
      <c r="G47" s="32" t="str">
        <f>'в часах'!G63</f>
        <v>B44 - 07-10</v>
      </c>
      <c r="H47" s="32">
        <f>'в часах'!H63</f>
        <v>3.53</v>
      </c>
      <c r="I47" s="32">
        <f>'в часах'!I63</f>
        <v>1.75</v>
      </c>
      <c r="J47" s="45">
        <f>'в часах'!J63</f>
        <v>109323.2175</v>
      </c>
      <c r="K47" s="44">
        <f>'в часах'!K63</f>
        <v>0.66666666666666663</v>
      </c>
      <c r="L47" s="35">
        <f>J47</f>
        <v>109323.2175</v>
      </c>
      <c r="M47" s="35">
        <f>J47/16*'в часах'!M63</f>
        <v>0</v>
      </c>
      <c r="N47" s="35">
        <f>J47/16*'в часах'!N63</f>
        <v>0</v>
      </c>
      <c r="O47" s="35">
        <f>J47/16*'в часах'!O63</f>
        <v>0</v>
      </c>
      <c r="P47" s="35">
        <f t="shared" si="7"/>
        <v>109323.2175</v>
      </c>
      <c r="Q47" s="47">
        <f>P47*'в часах'!P63</f>
        <v>27330.804375</v>
      </c>
      <c r="R47" s="47">
        <f t="shared" si="8"/>
        <v>136654.02187500001</v>
      </c>
      <c r="S47" s="35">
        <f>P47*'в часах'!Q63</f>
        <v>10932.321750000001</v>
      </c>
      <c r="T47" s="35">
        <f t="shared" si="2"/>
        <v>0</v>
      </c>
      <c r="U47" s="35">
        <f>17697*40%/16*'в часах'!S63</f>
        <v>0</v>
      </c>
      <c r="V47" s="48">
        <f>17697*20%/16*'в часах'!T63</f>
        <v>0</v>
      </c>
      <c r="W47" s="48">
        <f>17697*40%/16*'в часах'!U63</f>
        <v>0</v>
      </c>
      <c r="X47" s="48">
        <f>17697*25%/16*'в часах'!V63</f>
        <v>0</v>
      </c>
      <c r="Y47" s="48">
        <f>17697*50%/16*'в часах'!W63</f>
        <v>0</v>
      </c>
      <c r="Z47" s="48">
        <f>17697*20%/16*'в часах'!X63</f>
        <v>0</v>
      </c>
      <c r="AA47" s="48">
        <f>17697*40%/16*'в часах'!Y63</f>
        <v>0</v>
      </c>
      <c r="AB47" s="48">
        <f>17697*25%/16*'в часах'!Z63</f>
        <v>0</v>
      </c>
      <c r="AC47" s="48">
        <f>17697*50%/16*'в часах'!AA63</f>
        <v>0</v>
      </c>
      <c r="AD47" s="48">
        <f>17697*20%/16*'в часах'!AB63</f>
        <v>0</v>
      </c>
      <c r="AE47" s="48">
        <f>17697*40%/16*'в часах'!AC63</f>
        <v>0</v>
      </c>
      <c r="AF47" s="48">
        <f>17697*25%/16*'в часах'!AD63</f>
        <v>0</v>
      </c>
      <c r="AG47" s="48">
        <f>17697*50%/16*'в часах'!AE63</f>
        <v>0</v>
      </c>
      <c r="AH47" s="48">
        <f>17697*'в часах'!AF61</f>
        <v>0</v>
      </c>
      <c r="AI47" s="48">
        <f>17697*'в часах'!AG62</f>
        <v>0</v>
      </c>
      <c r="AJ47" s="48">
        <f>17697*'в часах'!AH62</f>
        <v>0</v>
      </c>
      <c r="AK47" s="48">
        <f>17697*'в часах'!AI62</f>
        <v>0</v>
      </c>
      <c r="AL47" s="48">
        <f>17697*'в часах'!AJ63</f>
        <v>0</v>
      </c>
      <c r="AM47" s="48">
        <f>17697*'в часах'!AK63</f>
        <v>0</v>
      </c>
      <c r="AN47" s="35"/>
      <c r="AO47" s="35">
        <f>R47*'в часах'!AM63</f>
        <v>0</v>
      </c>
      <c r="AP47" s="35">
        <f>R47*'в часах'!AN63</f>
        <v>0</v>
      </c>
      <c r="AQ47" s="35">
        <f>R47*'в часах'!AO63</f>
        <v>0</v>
      </c>
      <c r="AR47" s="35">
        <f>3063*'в часах'!AP63</f>
        <v>0</v>
      </c>
      <c r="AS47" s="35">
        <f>17697*'в часах'!AQ63</f>
        <v>0</v>
      </c>
      <c r="AT47" s="35">
        <f>17697*'в часах'!AR63</f>
        <v>0</v>
      </c>
      <c r="AU47" s="35">
        <f>17697*'в часах'!AS63</f>
        <v>0</v>
      </c>
      <c r="AV47" s="35">
        <f>17697*'в часах'!AT63</f>
        <v>3539.4</v>
      </c>
      <c r="AW47" s="35">
        <f>17697*'в часах'!AU63</f>
        <v>0</v>
      </c>
      <c r="AX47" s="49">
        <f t="shared" si="3"/>
        <v>14471.721750000001</v>
      </c>
      <c r="AY47" s="49">
        <f t="shared" si="9"/>
        <v>151125.743625</v>
      </c>
      <c r="AZ47" s="49">
        <v>12</v>
      </c>
      <c r="BA47" s="49">
        <f t="shared" si="10"/>
        <v>1813508.9235</v>
      </c>
      <c r="BB47" s="40"/>
    </row>
    <row r="48" spans="1:54" s="38" customFormat="1" ht="36" x14ac:dyDescent="0.2">
      <c r="A48" s="32">
        <f t="shared" si="6"/>
        <v>31</v>
      </c>
      <c r="B48" s="32" t="str">
        <f>'в часах'!B64</f>
        <v>Ахметова Дана Турсунбековна</v>
      </c>
      <c r="C48" s="32" t="str">
        <f>'в часах'!C64</f>
        <v>психолог надомное</v>
      </c>
      <c r="D48" s="32" t="str">
        <f>'в часах'!D64</f>
        <v>Бакалавр педагогики и психологии</v>
      </c>
      <c r="E48" s="32" t="str">
        <f>'в часах'!E64</f>
        <v>18,05,15</v>
      </c>
      <c r="F48" s="32" t="str">
        <f>'в часах'!F64</f>
        <v>вторая № 150 от 25.06.2019</v>
      </c>
      <c r="G48" s="32" t="str">
        <f>'в часах'!G64</f>
        <v>B23 - 16-20</v>
      </c>
      <c r="H48" s="32">
        <f>'в часах'!H64</f>
        <v>4.99</v>
      </c>
      <c r="I48" s="32">
        <f>'в часах'!I64</f>
        <v>1.75</v>
      </c>
      <c r="J48" s="45">
        <f>'в часах'!J64</f>
        <v>154539.05250000002</v>
      </c>
      <c r="K48" s="44">
        <f>'в часах'!K64</f>
        <v>0</v>
      </c>
      <c r="L48" s="35">
        <f>J48/24*'в часах'!L64</f>
        <v>0</v>
      </c>
      <c r="M48" s="35">
        <f>J48/16*'в часах'!M64</f>
        <v>0</v>
      </c>
      <c r="N48" s="35">
        <f>J48/16*'в часах'!N64</f>
        <v>0</v>
      </c>
      <c r="O48" s="35">
        <f>J48/16*'в часах'!O64</f>
        <v>0</v>
      </c>
      <c r="P48" s="35">
        <f t="shared" si="7"/>
        <v>0</v>
      </c>
      <c r="Q48" s="47">
        <f>P48*'в часах'!P64</f>
        <v>0</v>
      </c>
      <c r="R48" s="47">
        <f t="shared" si="8"/>
        <v>0</v>
      </c>
      <c r="S48" s="35">
        <f>P48*'в часах'!Q64</f>
        <v>0</v>
      </c>
      <c r="T48" s="35">
        <f t="shared" si="2"/>
        <v>0</v>
      </c>
      <c r="U48" s="35">
        <f>17697*40%/16*'в часах'!S64</f>
        <v>884.85</v>
      </c>
      <c r="V48" s="48">
        <f>17697*20%/16*'в часах'!T64</f>
        <v>0</v>
      </c>
      <c r="W48" s="48">
        <f>17697*40%/16*'в часах'!U64</f>
        <v>0</v>
      </c>
      <c r="X48" s="48">
        <f>17697*25%/16*'в часах'!V64</f>
        <v>0</v>
      </c>
      <c r="Y48" s="48">
        <f>17697*50%/16*'в часах'!W64</f>
        <v>0</v>
      </c>
      <c r="Z48" s="48">
        <f>17697*20%/16*'в часах'!X64</f>
        <v>0</v>
      </c>
      <c r="AA48" s="48">
        <f>17697*40%/16*'в часах'!Y64</f>
        <v>0</v>
      </c>
      <c r="AB48" s="48">
        <f>17697*25%/16*'в часах'!Z64</f>
        <v>0</v>
      </c>
      <c r="AC48" s="48">
        <f>17697*50%/16*'в часах'!AA64</f>
        <v>0</v>
      </c>
      <c r="AD48" s="48">
        <f>17697*20%/16*'в часах'!AB64</f>
        <v>0</v>
      </c>
      <c r="AE48" s="48">
        <f>17697*40%/16*'в часах'!AC64</f>
        <v>0</v>
      </c>
      <c r="AF48" s="48">
        <f>17697*25%/16*'в часах'!AD64</f>
        <v>0</v>
      </c>
      <c r="AG48" s="48">
        <f>17697*50%/16*'в часах'!AE64</f>
        <v>0</v>
      </c>
      <c r="AH48" s="48">
        <f>17697*'в часах'!AF62</f>
        <v>0</v>
      </c>
      <c r="AI48" s="48">
        <f>17697*'в часах'!AG63</f>
        <v>0</v>
      </c>
      <c r="AJ48" s="48">
        <f>17697*'в часах'!AH63</f>
        <v>0</v>
      </c>
      <c r="AK48" s="48">
        <f>17697*'в часах'!AI63</f>
        <v>0</v>
      </c>
      <c r="AL48" s="48">
        <f>17697*'в часах'!AJ64</f>
        <v>0</v>
      </c>
      <c r="AM48" s="48">
        <f>17697*'в часах'!AK64</f>
        <v>0</v>
      </c>
      <c r="AN48" s="35"/>
      <c r="AO48" s="35">
        <f>R48*'в часах'!AM64</f>
        <v>0</v>
      </c>
      <c r="AP48" s="35">
        <f>R48*'в часах'!AN64</f>
        <v>0</v>
      </c>
      <c r="AQ48" s="35">
        <f>R48*'в часах'!AO64</f>
        <v>0</v>
      </c>
      <c r="AR48" s="35">
        <f>3063*'в часах'!AP64</f>
        <v>0</v>
      </c>
      <c r="AS48" s="35">
        <f>17697*'в часах'!AQ64</f>
        <v>0</v>
      </c>
      <c r="AT48" s="35">
        <f>17697*'в часах'!AR64</f>
        <v>0</v>
      </c>
      <c r="AU48" s="35">
        <f>17697*'в часах'!AS64</f>
        <v>0</v>
      </c>
      <c r="AV48" s="35">
        <f>17697*'в часах'!AT64</f>
        <v>0</v>
      </c>
      <c r="AW48" s="35">
        <f>17697*'в часах'!AU64</f>
        <v>0</v>
      </c>
      <c r="AX48" s="49">
        <f t="shared" si="3"/>
        <v>884.85</v>
      </c>
      <c r="AY48" s="49">
        <f t="shared" si="9"/>
        <v>884.85</v>
      </c>
      <c r="AZ48" s="49">
        <v>12</v>
      </c>
      <c r="BA48" s="49">
        <f t="shared" si="10"/>
        <v>10618.2</v>
      </c>
      <c r="BB48" s="40"/>
    </row>
    <row r="49" spans="1:54" s="38" customFormat="1" ht="24" x14ac:dyDescent="0.2">
      <c r="A49" s="32">
        <f t="shared" si="6"/>
        <v>32</v>
      </c>
      <c r="B49" s="32" t="str">
        <f>'в часах'!B65</f>
        <v>Шульга Татьяна Алексеевна</v>
      </c>
      <c r="C49" s="32" t="str">
        <f>'в часах'!C65</f>
        <v>начальные классы\надомное обучение</v>
      </c>
      <c r="D49" s="32" t="str">
        <f>'в часах'!D65</f>
        <v>учитель (курсы переподготовки)</v>
      </c>
      <c r="E49" s="32" t="str">
        <f>'в часах'!E65</f>
        <v>38.00.19.</v>
      </c>
      <c r="F49" s="32" t="str">
        <f>'в часах'!F65</f>
        <v>б\к</v>
      </c>
      <c r="G49" s="32" t="str">
        <f>'в часах'!G65</f>
        <v>В44 - 3000</v>
      </c>
      <c r="H49" s="32">
        <f>'в часах'!H65</f>
        <v>3.73</v>
      </c>
      <c r="I49" s="32">
        <f>'в часах'!I65</f>
        <v>1.75</v>
      </c>
      <c r="J49" s="45">
        <f>'в часах'!J65</f>
        <v>115517.1675</v>
      </c>
      <c r="K49" s="44">
        <f>'в часах'!K65</f>
        <v>0</v>
      </c>
      <c r="L49" s="35">
        <f>J49/24*'в часах'!L65</f>
        <v>0</v>
      </c>
      <c r="M49" s="35">
        <f>J49/16*'в часах'!M65</f>
        <v>0</v>
      </c>
      <c r="N49" s="35">
        <f>J49/16*'в часах'!N65</f>
        <v>0</v>
      </c>
      <c r="O49" s="35">
        <f>J49/16*'в часах'!O65</f>
        <v>0</v>
      </c>
      <c r="P49" s="35">
        <f t="shared" si="7"/>
        <v>0</v>
      </c>
      <c r="Q49" s="47">
        <f>P49*'в часах'!P65</f>
        <v>0</v>
      </c>
      <c r="R49" s="47">
        <f t="shared" si="8"/>
        <v>0</v>
      </c>
      <c r="S49" s="35">
        <f>P49*'в часах'!Q65</f>
        <v>0</v>
      </c>
      <c r="T49" s="35">
        <f t="shared" si="2"/>
        <v>0</v>
      </c>
      <c r="U49" s="35">
        <f>17697*40%/16*'в часах'!S65</f>
        <v>3096.9749999999999</v>
      </c>
      <c r="V49" s="48">
        <f>17697*20%/16*'в часах'!T65</f>
        <v>1548.4875</v>
      </c>
      <c r="W49" s="48">
        <f>17697*40%/16*'в часах'!U65</f>
        <v>0</v>
      </c>
      <c r="X49" s="48">
        <f>17697*25%/16*'в часах'!V65</f>
        <v>0</v>
      </c>
      <c r="Y49" s="48">
        <f>17697*50%/16*'в часах'!W65</f>
        <v>0</v>
      </c>
      <c r="Z49" s="48">
        <f>17697*20%/16*'в часах'!X65</f>
        <v>0</v>
      </c>
      <c r="AA49" s="48">
        <f>17697*40%/16*'в часах'!Y65</f>
        <v>0</v>
      </c>
      <c r="AB49" s="48">
        <f>17697*25%/16*'в часах'!Z65</f>
        <v>0</v>
      </c>
      <c r="AC49" s="48">
        <f>17697*50%/16*'в часах'!AA65</f>
        <v>0</v>
      </c>
      <c r="AD49" s="48">
        <f>17697*20%/16*'в часах'!AB65</f>
        <v>0</v>
      </c>
      <c r="AE49" s="48">
        <f>17697*40%/16*'в часах'!AC65</f>
        <v>0</v>
      </c>
      <c r="AF49" s="48">
        <f>17697*25%/16*'в часах'!AD65</f>
        <v>0</v>
      </c>
      <c r="AG49" s="48">
        <f>17697*50%/16*'в часах'!AE65</f>
        <v>0</v>
      </c>
      <c r="AH49" s="48">
        <f>17697*'в часах'!AF63</f>
        <v>0</v>
      </c>
      <c r="AI49" s="48">
        <f>17697*'в часах'!AG64</f>
        <v>0</v>
      </c>
      <c r="AJ49" s="48">
        <f>17697*'в часах'!AH64</f>
        <v>0</v>
      </c>
      <c r="AK49" s="48">
        <f>17697*'в часах'!AI64</f>
        <v>0</v>
      </c>
      <c r="AL49" s="48">
        <f>17697*'в часах'!AJ65</f>
        <v>0</v>
      </c>
      <c r="AM49" s="48">
        <f>17697*'в часах'!AK65</f>
        <v>0</v>
      </c>
      <c r="AN49" s="35"/>
      <c r="AO49" s="35">
        <f>R49*'в часах'!AM65</f>
        <v>0</v>
      </c>
      <c r="AP49" s="35">
        <f>R49*'в часах'!AN65</f>
        <v>0</v>
      </c>
      <c r="AQ49" s="35">
        <f>R49*'в часах'!AO65</f>
        <v>0</v>
      </c>
      <c r="AR49" s="35">
        <f>3063*'в часах'!AP65</f>
        <v>0</v>
      </c>
      <c r="AS49" s="35">
        <f>17697*'в часах'!AQ65</f>
        <v>0</v>
      </c>
      <c r="AT49" s="35">
        <f>17697*'в часах'!AR65</f>
        <v>0</v>
      </c>
      <c r="AU49" s="35">
        <f>17697*'в часах'!AS65</f>
        <v>0</v>
      </c>
      <c r="AV49" s="35">
        <f>17697*'в часах'!AT65</f>
        <v>0</v>
      </c>
      <c r="AW49" s="35">
        <f>17697*'в часах'!AU65</f>
        <v>0</v>
      </c>
      <c r="AX49" s="49">
        <f t="shared" si="3"/>
        <v>4645.4624999999996</v>
      </c>
      <c r="AY49" s="49">
        <f t="shared" si="9"/>
        <v>4645.4624999999996</v>
      </c>
      <c r="AZ49" s="49">
        <v>12</v>
      </c>
      <c r="BA49" s="49">
        <f t="shared" si="10"/>
        <v>55745.549999999996</v>
      </c>
      <c r="BB49" s="40"/>
    </row>
    <row r="50" spans="1:54" s="38" customFormat="1" ht="24" x14ac:dyDescent="0.2">
      <c r="A50" s="32">
        <f t="shared" si="6"/>
        <v>33</v>
      </c>
      <c r="B50" s="32" t="str">
        <f>'в часах'!B66</f>
        <v>Мркоян Екатерина Петровна</v>
      </c>
      <c r="C50" s="32" t="str">
        <f>'в часах'!C66</f>
        <v>музыка</v>
      </c>
      <c r="D50" s="32" t="str">
        <f>'в часах'!D66</f>
        <v xml:space="preserve">с/с Педагогический колледж г.Щучинск </v>
      </c>
      <c r="E50" s="32" t="str">
        <f>'в часах'!E66</f>
        <v>04.11.21</v>
      </c>
      <c r="F50" s="32" t="str">
        <f>'в часах'!F66</f>
        <v>б\к</v>
      </c>
      <c r="G50" s="32" t="str">
        <f>'в часах'!G66</f>
        <v>В44  03-05</v>
      </c>
      <c r="H50" s="32">
        <f>'в часах'!H66</f>
        <v>3.45</v>
      </c>
      <c r="I50" s="32">
        <f>'в часах'!I66</f>
        <v>1.75</v>
      </c>
      <c r="J50" s="45">
        <f>'в часах'!J66</f>
        <v>106845.63750000001</v>
      </c>
      <c r="K50" s="44">
        <f>'в часах'!K66</f>
        <v>0.45833333333333331</v>
      </c>
      <c r="L50" s="35">
        <f>J50/24*'в часах'!L66</f>
        <v>8903.8031250000004</v>
      </c>
      <c r="M50" s="35">
        <f>J50/16*'в часах'!M66</f>
        <v>26711.409375000003</v>
      </c>
      <c r="N50" s="35">
        <f>J50/16*'в часах'!N66</f>
        <v>13355.704687500001</v>
      </c>
      <c r="O50" s="35">
        <f>J50/16*'в часах'!O66</f>
        <v>0</v>
      </c>
      <c r="P50" s="35">
        <f t="shared" si="7"/>
        <v>48970.917187500003</v>
      </c>
      <c r="Q50" s="47">
        <f>P50*'в часах'!P66</f>
        <v>12242.729296875001</v>
      </c>
      <c r="R50" s="47">
        <f t="shared" si="8"/>
        <v>61213.646484375</v>
      </c>
      <c r="S50" s="35">
        <f>P50*'в часах'!Q66</f>
        <v>4897.0917187500008</v>
      </c>
      <c r="T50" s="35">
        <f t="shared" si="2"/>
        <v>15025.167773437501</v>
      </c>
      <c r="U50" s="35">
        <f>17697*40%/16*'в часах'!S66</f>
        <v>0</v>
      </c>
      <c r="V50" s="48">
        <f>17697*20%/16*'в часах'!T66</f>
        <v>0</v>
      </c>
      <c r="W50" s="48">
        <f>17697*40%/16*'в часах'!U66</f>
        <v>0</v>
      </c>
      <c r="X50" s="48">
        <f>17697*25%/16*'в часах'!V66</f>
        <v>0</v>
      </c>
      <c r="Y50" s="48">
        <f>17697*50%/16*'в часах'!W66</f>
        <v>0</v>
      </c>
      <c r="Z50" s="48">
        <f>17697*20%/16*'в часах'!X66</f>
        <v>0</v>
      </c>
      <c r="AA50" s="48">
        <f>17697*40%/16*'в часах'!Y66</f>
        <v>0</v>
      </c>
      <c r="AB50" s="48">
        <f>17697*25%/16*'в часах'!Z66</f>
        <v>0</v>
      </c>
      <c r="AC50" s="48">
        <f>17697*50%/16*'в часах'!AA66</f>
        <v>0</v>
      </c>
      <c r="AD50" s="48">
        <f>17697*20%/16*'в часах'!AB66</f>
        <v>0</v>
      </c>
      <c r="AE50" s="48">
        <f>17697*40%/16*'в часах'!AC66</f>
        <v>0</v>
      </c>
      <c r="AF50" s="48">
        <f>17697*25%/16*'в часах'!AD66</f>
        <v>0</v>
      </c>
      <c r="AG50" s="48">
        <f>17697*50%/16*'в часах'!AE66</f>
        <v>0</v>
      </c>
      <c r="AH50" s="48">
        <f>17697*'в часах'!AF64</f>
        <v>0</v>
      </c>
      <c r="AI50" s="48">
        <f>17697*'в часах'!AG65</f>
        <v>0</v>
      </c>
      <c r="AJ50" s="48">
        <f>17697*'в часах'!AH65</f>
        <v>0</v>
      </c>
      <c r="AK50" s="48">
        <f>17697*'в часах'!AI65</f>
        <v>0</v>
      </c>
      <c r="AL50" s="48">
        <f>17697*'в часах'!AJ66</f>
        <v>0</v>
      </c>
      <c r="AM50" s="48">
        <f>17697*'в часах'!AK66</f>
        <v>0</v>
      </c>
      <c r="AN50" s="35"/>
      <c r="AO50" s="35">
        <f>R50*'в часах'!AM66</f>
        <v>0</v>
      </c>
      <c r="AP50" s="35">
        <f>R50*'в часах'!AN66</f>
        <v>0</v>
      </c>
      <c r="AQ50" s="35">
        <f>R50*'в часах'!AO66</f>
        <v>0</v>
      </c>
      <c r="AR50" s="35">
        <f>3063*'в часах'!AP66</f>
        <v>0</v>
      </c>
      <c r="AS50" s="35">
        <f>17697*'в часах'!AQ66</f>
        <v>0</v>
      </c>
      <c r="AT50" s="35">
        <f>17697*'в часах'!AR66</f>
        <v>0</v>
      </c>
      <c r="AU50" s="35">
        <f>17697*'в часах'!AS66</f>
        <v>0</v>
      </c>
      <c r="AV50" s="35">
        <f>17697*'в часах'!AT66</f>
        <v>0</v>
      </c>
      <c r="AW50" s="35">
        <f>17697*'в часах'!AU66</f>
        <v>0</v>
      </c>
      <c r="AX50" s="49">
        <f t="shared" si="3"/>
        <v>19922.259492187502</v>
      </c>
      <c r="AY50" s="49">
        <f t="shared" si="9"/>
        <v>81135.905976562499</v>
      </c>
      <c r="AZ50" s="49">
        <v>12</v>
      </c>
      <c r="BA50" s="49">
        <f t="shared" si="10"/>
        <v>973630.87171874999</v>
      </c>
      <c r="BB50" s="40"/>
    </row>
    <row r="51" spans="1:54" s="38" customFormat="1" ht="48" x14ac:dyDescent="0.2">
      <c r="A51" s="32">
        <f t="shared" si="6"/>
        <v>34</v>
      </c>
      <c r="B51" s="32" t="str">
        <f>'в часах'!B67</f>
        <v>Шульга Евгений Викторович</v>
      </c>
      <c r="C51" s="32" t="str">
        <f>'в часах'!C67</f>
        <v>НВТП</v>
      </c>
      <c r="D51" s="32" t="str">
        <f>'в часах'!D67</f>
        <v>Высшее</v>
      </c>
      <c r="E51" s="32" t="str">
        <f>'в часах'!E67</f>
        <v>17.07.18</v>
      </c>
      <c r="F51" s="32" t="str">
        <f>'в часах'!F67</f>
        <v>педагог-эксперт       № 264 от 14.07.2021</v>
      </c>
      <c r="G51" s="32" t="str">
        <f>'в часах'!G67</f>
        <v>B22 -16-20</v>
      </c>
      <c r="H51" s="32">
        <f>'в часах'!H67</f>
        <v>5.03</v>
      </c>
      <c r="I51" s="32">
        <f>'в часах'!I67</f>
        <v>1.75</v>
      </c>
      <c r="J51" s="45">
        <f>'в часах'!J67</f>
        <v>155777.8425</v>
      </c>
      <c r="K51" s="44">
        <f>'в часах'!K67</f>
        <v>0.125</v>
      </c>
      <c r="L51" s="35">
        <f>J51/24*'в часах'!L67</f>
        <v>0</v>
      </c>
      <c r="M51" s="35">
        <f>J51/16*'в часах'!M67</f>
        <v>0</v>
      </c>
      <c r="N51" s="35">
        <f>J51/16*'в часах'!N67</f>
        <v>0</v>
      </c>
      <c r="O51" s="35">
        <f>J51/16*'в часах'!O67</f>
        <v>19472.2303125</v>
      </c>
      <c r="P51" s="35">
        <f t="shared" ref="P51" si="14">L51+M51+N51+O51</f>
        <v>19472.2303125</v>
      </c>
      <c r="Q51" s="47">
        <f>P51*'в часах'!P67</f>
        <v>4868.057578125</v>
      </c>
      <c r="R51" s="47">
        <f t="shared" ref="R51" si="15">P51+Q51</f>
        <v>24340.287890625001</v>
      </c>
      <c r="S51" s="35">
        <f>P51*'в часах'!Q67</f>
        <v>1947.2230312500001</v>
      </c>
      <c r="T51" s="35">
        <f t="shared" ref="T51" si="16">(M51+N51+O51)*1.25*30%</f>
        <v>7302.0863671875004</v>
      </c>
      <c r="U51" s="35">
        <f>17697*40%/16*'в часах'!S67</f>
        <v>0</v>
      </c>
      <c r="V51" s="48">
        <f>17697*20%/16*'в часах'!T67</f>
        <v>0</v>
      </c>
      <c r="W51" s="48">
        <f>17697*40%/16*'в часах'!U67</f>
        <v>0</v>
      </c>
      <c r="X51" s="48">
        <f>17697*25%/16*'в часах'!V67</f>
        <v>0</v>
      </c>
      <c r="Y51" s="48">
        <f>17697*50%/16*'в часах'!W67</f>
        <v>0</v>
      </c>
      <c r="Z51" s="48">
        <f>17697*20%/16*'в часах'!X67</f>
        <v>0</v>
      </c>
      <c r="AA51" s="48">
        <f>17697*40%/16*'в часах'!Y67</f>
        <v>0</v>
      </c>
      <c r="AB51" s="48">
        <f>17697*25%/16*'в часах'!Z67</f>
        <v>0</v>
      </c>
      <c r="AC51" s="48">
        <f>17697*50%/16*'в часах'!AA67</f>
        <v>0</v>
      </c>
      <c r="AD51" s="48">
        <f>17697*20%/16*'в часах'!AB67</f>
        <v>0</v>
      </c>
      <c r="AE51" s="48">
        <f>17697*40%/16*'в часах'!AC67</f>
        <v>0</v>
      </c>
      <c r="AF51" s="48">
        <f>17697*25%/16*'в часах'!AD67</f>
        <v>0</v>
      </c>
      <c r="AG51" s="48">
        <f>17697*50%/16*'в часах'!AE67</f>
        <v>0</v>
      </c>
      <c r="AH51" s="48">
        <f>17697*'в часах'!AF65</f>
        <v>0</v>
      </c>
      <c r="AI51" s="48">
        <f>17697*'в часах'!AG66</f>
        <v>0</v>
      </c>
      <c r="AJ51" s="48">
        <f>17697*'в часах'!AH66</f>
        <v>0</v>
      </c>
      <c r="AK51" s="48">
        <f>17697*'в часах'!AI66</f>
        <v>0</v>
      </c>
      <c r="AL51" s="48">
        <f>17697*'в часах'!AJ67</f>
        <v>0</v>
      </c>
      <c r="AM51" s="48">
        <f>17697*'в часах'!AK67</f>
        <v>0</v>
      </c>
      <c r="AN51" s="35"/>
      <c r="AO51" s="35">
        <f>R51*'в часах'!AM67</f>
        <v>0</v>
      </c>
      <c r="AP51" s="35">
        <f>R51*'в часах'!AN67</f>
        <v>8519.1007617187497</v>
      </c>
      <c r="AQ51" s="35">
        <f>R51*'в часах'!AO67</f>
        <v>0</v>
      </c>
      <c r="AR51" s="35">
        <f>3063*'в часах'!AP67</f>
        <v>0</v>
      </c>
      <c r="AS51" s="35">
        <f>17697*'в часах'!AQ67</f>
        <v>0</v>
      </c>
      <c r="AT51" s="35">
        <f>17697*'в часах'!AR67</f>
        <v>0</v>
      </c>
      <c r="AU51" s="35">
        <f>17697*'в часах'!AS67</f>
        <v>0</v>
      </c>
      <c r="AV51" s="35">
        <f>17697*'в часах'!AT67</f>
        <v>0</v>
      </c>
      <c r="AW51" s="35">
        <f>17697*'в часах'!AU67</f>
        <v>0</v>
      </c>
      <c r="AX51" s="49">
        <f t="shared" ref="AX51" si="17">SUM(S51:AW51)</f>
        <v>17768.410160156251</v>
      </c>
      <c r="AY51" s="49">
        <f t="shared" ref="AY51" si="18">AX51+R51</f>
        <v>42108.698050781255</v>
      </c>
      <c r="AZ51" s="49">
        <v>13</v>
      </c>
      <c r="BA51" s="49">
        <f t="shared" ref="BA51" si="19">AZ51*AY51</f>
        <v>547413.07466015627</v>
      </c>
      <c r="BB51" s="40"/>
    </row>
    <row r="52" spans="1:54" s="38" customFormat="1" ht="12" x14ac:dyDescent="0.2">
      <c r="A52" s="19"/>
      <c r="B52" s="33"/>
      <c r="C52" s="33"/>
      <c r="D52" s="33"/>
      <c r="E52" s="34"/>
      <c r="F52" s="34"/>
      <c r="G52" s="34"/>
      <c r="H52" s="34"/>
      <c r="I52" s="34"/>
      <c r="J52" s="46" t="e">
        <f>SUM(J18:J50)</f>
        <v>#REF!</v>
      </c>
      <c r="K52" s="41" t="e">
        <f>SUM(K20:K50)</f>
        <v>#REF!</v>
      </c>
      <c r="L52" s="50" t="e">
        <f t="shared" ref="L52:AY52" si="20">SUM(L18:L50)</f>
        <v>#REF!</v>
      </c>
      <c r="M52" s="50" t="e">
        <f t="shared" si="20"/>
        <v>#REF!</v>
      </c>
      <c r="N52" s="50" t="e">
        <f t="shared" si="20"/>
        <v>#REF!</v>
      </c>
      <c r="O52" s="50" t="e">
        <f t="shared" si="20"/>
        <v>#REF!</v>
      </c>
      <c r="P52" s="50" t="e">
        <f t="shared" si="20"/>
        <v>#REF!</v>
      </c>
      <c r="Q52" s="50" t="e">
        <f t="shared" si="20"/>
        <v>#REF!</v>
      </c>
      <c r="R52" s="50" t="e">
        <f t="shared" si="20"/>
        <v>#REF!</v>
      </c>
      <c r="S52" s="50" t="e">
        <f t="shared" si="20"/>
        <v>#REF!</v>
      </c>
      <c r="T52" s="50" t="e">
        <f t="shared" si="20"/>
        <v>#REF!</v>
      </c>
      <c r="U52" s="50" t="e">
        <f t="shared" si="20"/>
        <v>#REF!</v>
      </c>
      <c r="V52" s="41" t="e">
        <f t="shared" si="20"/>
        <v>#REF!</v>
      </c>
      <c r="W52" s="41" t="e">
        <f t="shared" si="20"/>
        <v>#REF!</v>
      </c>
      <c r="X52" s="41" t="e">
        <f t="shared" si="20"/>
        <v>#REF!</v>
      </c>
      <c r="Y52" s="41" t="e">
        <f t="shared" si="20"/>
        <v>#REF!</v>
      </c>
      <c r="Z52" s="41" t="e">
        <f t="shared" si="20"/>
        <v>#REF!</v>
      </c>
      <c r="AA52" s="41" t="e">
        <f t="shared" si="20"/>
        <v>#REF!</v>
      </c>
      <c r="AB52" s="41" t="e">
        <f t="shared" si="20"/>
        <v>#REF!</v>
      </c>
      <c r="AC52" s="41" t="e">
        <f t="shared" si="20"/>
        <v>#REF!</v>
      </c>
      <c r="AD52" s="50" t="e">
        <f t="shared" si="20"/>
        <v>#REF!</v>
      </c>
      <c r="AE52" s="50" t="e">
        <f t="shared" si="20"/>
        <v>#REF!</v>
      </c>
      <c r="AF52" s="50" t="e">
        <f t="shared" si="20"/>
        <v>#REF!</v>
      </c>
      <c r="AG52" s="50" t="e">
        <f t="shared" si="20"/>
        <v>#REF!</v>
      </c>
      <c r="AH52" s="50" t="e">
        <f t="shared" si="20"/>
        <v>#REF!</v>
      </c>
      <c r="AI52" s="50" t="e">
        <f t="shared" si="20"/>
        <v>#REF!</v>
      </c>
      <c r="AJ52" s="50" t="e">
        <f t="shared" si="20"/>
        <v>#REF!</v>
      </c>
      <c r="AK52" s="50" t="e">
        <f t="shared" si="20"/>
        <v>#REF!</v>
      </c>
      <c r="AL52" s="50" t="e">
        <f t="shared" si="20"/>
        <v>#REF!</v>
      </c>
      <c r="AM52" s="50" t="e">
        <f t="shared" si="20"/>
        <v>#REF!</v>
      </c>
      <c r="AN52" s="50">
        <f t="shared" si="20"/>
        <v>0</v>
      </c>
      <c r="AO52" s="50" t="e">
        <f t="shared" si="20"/>
        <v>#REF!</v>
      </c>
      <c r="AP52" s="50" t="e">
        <f t="shared" si="20"/>
        <v>#REF!</v>
      </c>
      <c r="AQ52" s="50" t="e">
        <f t="shared" si="20"/>
        <v>#REF!</v>
      </c>
      <c r="AR52" s="50" t="e">
        <f t="shared" si="20"/>
        <v>#REF!</v>
      </c>
      <c r="AS52" s="50" t="e">
        <f t="shared" si="20"/>
        <v>#REF!</v>
      </c>
      <c r="AT52" s="50" t="e">
        <f t="shared" si="20"/>
        <v>#REF!</v>
      </c>
      <c r="AU52" s="50" t="e">
        <f t="shared" si="20"/>
        <v>#REF!</v>
      </c>
      <c r="AV52" s="50" t="e">
        <f t="shared" si="20"/>
        <v>#REF!</v>
      </c>
      <c r="AW52" s="50" t="e">
        <f t="shared" si="20"/>
        <v>#REF!</v>
      </c>
      <c r="AX52" s="50" t="e">
        <f t="shared" si="20"/>
        <v>#REF!</v>
      </c>
      <c r="AY52" s="50" t="e">
        <f t="shared" si="20"/>
        <v>#REF!</v>
      </c>
      <c r="AZ52" s="50"/>
      <c r="BA52" s="50" t="e">
        <f>SUM(BA18:BA50)</f>
        <v>#REF!</v>
      </c>
      <c r="BB52" s="19"/>
    </row>
    <row r="53" spans="1:54" s="1" customFormat="1" x14ac:dyDescent="0.2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5"/>
      <c r="AY53" s="5"/>
    </row>
    <row r="54" spans="1:54" s="1" customFormat="1" ht="25.5" customHeight="1" x14ac:dyDescent="0.2">
      <c r="A54"/>
      <c r="B54"/>
      <c r="D54" s="29" t="s">
        <v>56</v>
      </c>
      <c r="E54" s="14"/>
      <c r="F54" s="13"/>
      <c r="H54" s="140" t="s">
        <v>57</v>
      </c>
      <c r="I54" s="140"/>
      <c r="J54" s="15"/>
      <c r="K54" s="1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</row>
    <row r="55" spans="1:54" s="1" customFormat="1" ht="15" x14ac:dyDescent="0.25">
      <c r="A55"/>
      <c r="B55"/>
      <c r="D55" s="29"/>
      <c r="E55" s="13"/>
      <c r="F55" s="13"/>
      <c r="H55" s="16"/>
      <c r="I55" s="9"/>
      <c r="K55" s="13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</row>
    <row r="56" spans="1:54" s="1" customFormat="1" ht="27.75" customHeight="1" x14ac:dyDescent="0.2">
      <c r="A56"/>
      <c r="B56"/>
      <c r="D56" s="29" t="s">
        <v>58</v>
      </c>
      <c r="E56" s="14"/>
      <c r="F56" s="13"/>
      <c r="H56" s="140" t="s">
        <v>59</v>
      </c>
      <c r="I56" s="140"/>
      <c r="J56" s="15"/>
      <c r="K56" s="14"/>
      <c r="L56"/>
      <c r="M56"/>
      <c r="N56"/>
      <c r="O56"/>
      <c r="P56"/>
      <c r="Q56"/>
      <c r="R56"/>
      <c r="S56"/>
      <c r="T56"/>
      <c r="U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</row>
    <row r="57" spans="1:54" s="1" customFormat="1" ht="15" x14ac:dyDescent="0.25">
      <c r="A57" s="2"/>
      <c r="D57" s="29"/>
      <c r="E57" s="13"/>
      <c r="F57" s="13"/>
      <c r="H57" s="16"/>
      <c r="I57" s="9"/>
      <c r="K57" s="13"/>
      <c r="AE57" s="2"/>
      <c r="AX57" s="2"/>
      <c r="AY57" s="2"/>
    </row>
    <row r="58" spans="1:54" s="1" customFormat="1" ht="26.25" customHeight="1" x14ac:dyDescent="0.25">
      <c r="A58" s="2"/>
      <c r="D58" s="29" t="s">
        <v>85</v>
      </c>
      <c r="E58" s="17"/>
      <c r="F58" s="42"/>
      <c r="H58" s="140" t="s">
        <v>60</v>
      </c>
      <c r="I58" s="140"/>
      <c r="J58" s="15"/>
      <c r="K58" s="14"/>
      <c r="AE58" s="2"/>
      <c r="AX58" s="2"/>
      <c r="AY58" s="2"/>
    </row>
    <row r="59" spans="1:54" s="1" customFormat="1" x14ac:dyDescent="0.2">
      <c r="A59" s="2"/>
      <c r="C59" s="2"/>
      <c r="D59" s="2"/>
      <c r="E59" s="2"/>
      <c r="F59" s="2"/>
      <c r="G59" s="2"/>
      <c r="H59" s="2"/>
      <c r="I59" s="2"/>
      <c r="J59" s="2"/>
      <c r="K59" s="2"/>
      <c r="AE59" s="2"/>
      <c r="AX59" s="2"/>
      <c r="AY59" s="2"/>
    </row>
    <row r="60" spans="1:54" s="1" customFormat="1" x14ac:dyDescent="0.2">
      <c r="A60" s="2"/>
      <c r="C60" s="2"/>
      <c r="D60" s="2"/>
      <c r="E60" s="2"/>
      <c r="F60" s="2"/>
      <c r="G60" s="2"/>
      <c r="H60" s="2"/>
      <c r="I60" s="2"/>
      <c r="J60" s="2"/>
      <c r="K60" s="2"/>
      <c r="AE60" s="2"/>
      <c r="AX60" s="2"/>
      <c r="AY60" s="2"/>
    </row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</sheetData>
  <mergeCells count="74">
    <mergeCell ref="C1:D1"/>
    <mergeCell ref="H58:I58"/>
    <mergeCell ref="L13:P13"/>
    <mergeCell ref="P14:P16"/>
    <mergeCell ref="E6:L8"/>
    <mergeCell ref="M8:T8"/>
    <mergeCell ref="G13:G16"/>
    <mergeCell ref="H56:I56"/>
    <mergeCell ref="F13:F16"/>
    <mergeCell ref="H54:I54"/>
    <mergeCell ref="E1:G1"/>
    <mergeCell ref="M2:T2"/>
    <mergeCell ref="E3:L3"/>
    <mergeCell ref="E4:L4"/>
    <mergeCell ref="O1:R1"/>
    <mergeCell ref="H13:H16"/>
    <mergeCell ref="I13:I16"/>
    <mergeCell ref="J13:J16"/>
    <mergeCell ref="K13:K16"/>
    <mergeCell ref="R13:R16"/>
    <mergeCell ref="L14:O14"/>
    <mergeCell ref="AY13:AY15"/>
    <mergeCell ref="AZ13:AZ15"/>
    <mergeCell ref="AP14:AP15"/>
    <mergeCell ref="AQ14:AQ15"/>
    <mergeCell ref="AV14:AV15"/>
    <mergeCell ref="AW14:AW15"/>
    <mergeCell ref="AS13:AS15"/>
    <mergeCell ref="AT13:AT15"/>
    <mergeCell ref="AU13:AU15"/>
    <mergeCell ref="AJ14:AK14"/>
    <mergeCell ref="AL14:AM14"/>
    <mergeCell ref="AN13:AQ13"/>
    <mergeCell ref="AR13:AR15"/>
    <mergeCell ref="AV13:AW13"/>
    <mergeCell ref="AH13:AM13"/>
    <mergeCell ref="AL15:AM15"/>
    <mergeCell ref="AJ15:AK15"/>
    <mergeCell ref="V14:Y14"/>
    <mergeCell ref="Z14:AC14"/>
    <mergeCell ref="AD14:AG14"/>
    <mergeCell ref="AH14:AI14"/>
    <mergeCell ref="Q13:Q16"/>
    <mergeCell ref="S13:S16"/>
    <mergeCell ref="V13:AG13"/>
    <mergeCell ref="AD15:AE15"/>
    <mergeCell ref="AF15:AG15"/>
    <mergeCell ref="V15:W15"/>
    <mergeCell ref="X15:Y15"/>
    <mergeCell ref="Z15:AA15"/>
    <mergeCell ref="AB15:AC15"/>
    <mergeCell ref="U13:U16"/>
    <mergeCell ref="T13:T16"/>
    <mergeCell ref="A13:A16"/>
    <mergeCell ref="B13:B16"/>
    <mergeCell ref="C13:C16"/>
    <mergeCell ref="D13:D16"/>
    <mergeCell ref="E13:E16"/>
    <mergeCell ref="BB13:BB16"/>
    <mergeCell ref="M9:T9"/>
    <mergeCell ref="M3:T3"/>
    <mergeCell ref="M4:T4"/>
    <mergeCell ref="M5:T5"/>
    <mergeCell ref="M6:T6"/>
    <mergeCell ref="M7:T7"/>
    <mergeCell ref="AX13:AX15"/>
    <mergeCell ref="AN14:AN15"/>
    <mergeCell ref="AO14:AO15"/>
    <mergeCell ref="V12:AE12"/>
    <mergeCell ref="AF12:AK12"/>
    <mergeCell ref="AL12:AM12"/>
    <mergeCell ref="AN12:AO12"/>
    <mergeCell ref="AH15:AI15"/>
    <mergeCell ref="BA13:BA15"/>
  </mergeCells>
  <phoneticPr fontId="16" type="noConversion"/>
  <pageMargins left="0.59055118110236227" right="0.39370078740157483" top="0.98425196850393704" bottom="0.35433070866141736" header="0.31496062992125984" footer="0.31496062992125984"/>
  <pageSetup paperSize="9" scale="42" fitToWidth="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 часах</vt:lpstr>
      <vt:lpstr>в сумме</vt:lpstr>
      <vt:lpstr>'в сумме'!Заголовки_для_печати</vt:lpstr>
      <vt:lpstr>'в часах'!Заголовки_для_печати</vt:lpstr>
      <vt:lpstr>'в сумме'!Область_печати</vt:lpstr>
      <vt:lpstr>'в часах'!Область_печати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0392MAO</dc:creator>
  <cp:lastModifiedBy>Админ</cp:lastModifiedBy>
  <cp:lastPrinted>2023-05-31T08:49:53Z</cp:lastPrinted>
  <dcterms:created xsi:type="dcterms:W3CDTF">2017-10-25T03:32:02Z</dcterms:created>
  <dcterms:modified xsi:type="dcterms:W3CDTF">2023-05-31T10:35:52Z</dcterms:modified>
</cp:coreProperties>
</file>